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gregion.se\Hem\GOT-K\katma17\Mina dokument\GITS\Ekonomi\Budget 2015\"/>
    </mc:Choice>
  </mc:AlternateContent>
  <bookViews>
    <workbookView xWindow="0" yWindow="0" windowWidth="20490" windowHeight="7155" tabRatio="717" activeTab="2"/>
  </bookViews>
  <sheets>
    <sheet name="Information" sheetId="12" r:id="rId1"/>
    <sheet name="TOTAL" sheetId="1" r:id="rId2"/>
    <sheet name="GITS" sheetId="7" r:id="rId3"/>
    <sheet name="webSESAM" sheetId="3" r:id="rId4"/>
    <sheet name="SVPL" sheetId="2" r:id="rId5"/>
    <sheet name="Införande ITMV" sheetId="9" r:id="rId6"/>
    <sheet name="Videomöte" sheetId="8" r:id="rId7"/>
    <sheet name="Utveckling KLARA" sheetId="10" r:id="rId8"/>
    <sheet name="SITHS" sheetId="11" r:id="rId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 l="1"/>
  <c r="H8" i="1"/>
  <c r="F13" i="2" l="1"/>
  <c r="D13" i="2"/>
  <c r="B7" i="7" l="1"/>
  <c r="B11" i="7" s="1"/>
  <c r="B14" i="7" s="1"/>
  <c r="B4" i="1" s="1"/>
  <c r="B8" i="9" l="1"/>
  <c r="F17" i="9" s="1"/>
  <c r="E17" i="9"/>
  <c r="B7" i="9"/>
  <c r="B9" i="9"/>
  <c r="B6" i="9" l="1"/>
  <c r="B4" i="9"/>
  <c r="H6" i="3" l="1"/>
  <c r="H6" i="7" l="1"/>
  <c r="F18" i="1" l="1"/>
  <c r="E18" i="1"/>
  <c r="F17" i="1"/>
  <c r="E17" i="1"/>
  <c r="F16" i="1"/>
  <c r="E16" i="1"/>
  <c r="F11" i="1"/>
  <c r="E11" i="1"/>
  <c r="B17" i="9"/>
  <c r="B11" i="1" s="1"/>
  <c r="F8" i="11"/>
  <c r="E8" i="11"/>
  <c r="F7" i="10"/>
  <c r="E7" i="10"/>
  <c r="H12" i="3"/>
  <c r="H13" i="2"/>
  <c r="H6" i="1" s="1"/>
  <c r="H11" i="7"/>
  <c r="H4" i="1" s="1"/>
  <c r="H5" i="1" l="1"/>
  <c r="F11" i="7"/>
  <c r="F14" i="7" s="1"/>
  <c r="F4" i="1" s="1"/>
  <c r="E11" i="7"/>
  <c r="E14" i="7" s="1"/>
  <c r="E4" i="1" s="1"/>
  <c r="B17" i="1"/>
  <c r="B18" i="1"/>
  <c r="B8" i="11"/>
  <c r="B16" i="1"/>
  <c r="E15" i="8"/>
  <c r="C11" i="8"/>
  <c r="D15" i="8"/>
  <c r="C15" i="8"/>
  <c r="D13" i="8"/>
  <c r="D12" i="8"/>
  <c r="E13" i="8"/>
  <c r="E12" i="8"/>
  <c r="E11" i="8"/>
  <c r="D11" i="8"/>
  <c r="C13" i="8"/>
  <c r="C12" i="8"/>
  <c r="C6" i="8"/>
  <c r="D6" i="8" s="1"/>
  <c r="C5" i="8"/>
  <c r="C4" i="8"/>
  <c r="E4" i="8" s="1"/>
  <c r="E5" i="8" l="1"/>
  <c r="E8" i="8" s="1"/>
  <c r="D5" i="8"/>
  <c r="E6" i="8"/>
  <c r="D4" i="8"/>
  <c r="D8" i="8" s="1"/>
  <c r="C8" i="8"/>
  <c r="B6" i="3" l="1"/>
  <c r="B8" i="2"/>
  <c r="B13" i="2" s="1"/>
  <c r="F12" i="3" l="1"/>
  <c r="E12" i="3"/>
  <c r="F6" i="1"/>
  <c r="D6" i="1"/>
  <c r="D8" i="1" s="1"/>
  <c r="D20" i="1" s="1"/>
  <c r="B6" i="1"/>
  <c r="E5" i="1"/>
  <c r="E8" i="1" s="1"/>
  <c r="E20" i="1" s="1"/>
  <c r="F5" i="1"/>
  <c r="B12" i="3"/>
  <c r="B5" i="1" l="1"/>
  <c r="F8" i="1"/>
  <c r="F20" i="1" s="1"/>
  <c r="E22" i="1"/>
  <c r="B8" i="1"/>
</calcChain>
</file>

<file path=xl/comments1.xml><?xml version="1.0" encoding="utf-8"?>
<comments xmlns="http://schemas.openxmlformats.org/spreadsheetml/2006/main">
  <authors>
    <author>Katarina M Amundsson</author>
  </authors>
  <commentList>
    <comment ref="A1" authorId="0" shapeId="0">
      <text>
        <r>
          <rPr>
            <b/>
            <sz val="9"/>
            <color indexed="81"/>
            <rFont val="Tahoma"/>
            <family val="2"/>
          </rPr>
          <t>Katarina M Amundsson:</t>
        </r>
        <r>
          <rPr>
            <sz val="9"/>
            <color indexed="81"/>
            <rFont val="Tahoma"/>
            <family val="2"/>
          </rPr>
          <t xml:space="preserve">
Funktionskoordinator tidigare funnits på resp. ansvar för systemförvaltning</t>
        </r>
      </text>
    </comment>
    <comment ref="A2" authorId="0" shapeId="0">
      <text>
        <r>
          <rPr>
            <b/>
            <sz val="9"/>
            <color indexed="81"/>
            <rFont val="Tahoma"/>
            <family val="2"/>
          </rPr>
          <t>Katarina M Amundsson:</t>
        </r>
        <r>
          <rPr>
            <sz val="9"/>
            <color indexed="81"/>
            <rFont val="Tahoma"/>
            <family val="2"/>
          </rPr>
          <t xml:space="preserve">
Uträknad gemensamt med ekonomichef Regionkansliet efter mall</t>
        </r>
      </text>
    </comment>
    <comment ref="A9" authorId="0" shapeId="0">
      <text>
        <r>
          <rPr>
            <b/>
            <sz val="9"/>
            <color indexed="81"/>
            <rFont val="Tahoma"/>
            <family val="2"/>
          </rPr>
          <t>Katarina M Amundsson:</t>
        </r>
        <r>
          <rPr>
            <sz val="9"/>
            <color indexed="81"/>
            <rFont val="Tahoma"/>
            <family val="2"/>
          </rPr>
          <t xml:space="preserve">
t.ex. ny mobil, utrustning</t>
        </r>
      </text>
    </comment>
  </commentList>
</comments>
</file>

<file path=xl/comments2.xml><?xml version="1.0" encoding="utf-8"?>
<comments xmlns="http://schemas.openxmlformats.org/spreadsheetml/2006/main">
  <authors>
    <author>Katarina M Amundsson</author>
  </authors>
  <commentList>
    <comment ref="D3" authorId="0" shapeId="0">
      <text>
        <r>
          <rPr>
            <b/>
            <sz val="9"/>
            <color indexed="81"/>
            <rFont val="Tahoma"/>
            <family val="2"/>
          </rPr>
          <t>Katarina M Amundsson:</t>
        </r>
        <r>
          <rPr>
            <sz val="9"/>
            <color indexed="81"/>
            <rFont val="Tahoma"/>
            <family val="2"/>
          </rPr>
          <t xml:space="preserve">
Tidigare vårdavtal med kommuner som hanterar Primärvårdsrehab försvinner 2015, därav ingen fakturering direkt till kommuner</t>
        </r>
      </text>
    </comment>
    <comment ref="E6" authorId="0" shapeId="0">
      <text>
        <r>
          <rPr>
            <b/>
            <sz val="9"/>
            <color indexed="81"/>
            <rFont val="Tahoma"/>
            <family val="2"/>
          </rPr>
          <t>Katarina M Amundsson:</t>
        </r>
        <r>
          <rPr>
            <sz val="9"/>
            <color indexed="81"/>
            <rFont val="Tahoma"/>
            <family val="2"/>
          </rPr>
          <t xml:space="preserve">
Fördelning efter antal ordrar 2014. Sammanställs i febr 2015.
Beräkning 47/53 % gjord utifrån tidigare års resultat.</t>
        </r>
      </text>
    </comment>
    <comment ref="F6" authorId="0" shapeId="0">
      <text>
        <r>
          <rPr>
            <b/>
            <sz val="9"/>
            <color indexed="81"/>
            <rFont val="Tahoma"/>
            <family val="2"/>
          </rPr>
          <t>Katarina M Amundsson:</t>
        </r>
        <r>
          <rPr>
            <sz val="9"/>
            <color indexed="81"/>
            <rFont val="Tahoma"/>
            <family val="2"/>
          </rPr>
          <t xml:space="preserve">
Fördelning efter antal ordrar 2014. Sammanställs i febr 2015.
Beräkning 47/53 % gjord utifrån tidigare års resultat.</t>
        </r>
      </text>
    </comment>
    <comment ref="H8" authorId="0" shapeId="0">
      <text>
        <r>
          <rPr>
            <b/>
            <sz val="9"/>
            <color indexed="81"/>
            <rFont val="Tahoma"/>
            <family val="2"/>
          </rPr>
          <t>Katarina M Amundsson:</t>
        </r>
        <r>
          <rPr>
            <sz val="9"/>
            <color indexed="81"/>
            <rFont val="Tahoma"/>
            <family val="2"/>
          </rPr>
          <t xml:space="preserve">
support på HMC 40% vilket var för lite</t>
        </r>
      </text>
    </comment>
    <comment ref="E9" authorId="0" shapeId="0">
      <text>
        <r>
          <rPr>
            <b/>
            <sz val="9"/>
            <color indexed="81"/>
            <rFont val="Tahoma"/>
            <family val="2"/>
          </rPr>
          <t>Katarina M Amundsson:</t>
        </r>
        <r>
          <rPr>
            <sz val="9"/>
            <color indexed="81"/>
            <rFont val="Tahoma"/>
            <family val="2"/>
          </rPr>
          <t xml:space="preserve">
Fördelning efter antal ordrar 2014. Sammanställs i febr 2015.
Beräkning 47/53 % gjord utifrån tidigare års resultat.</t>
        </r>
      </text>
    </comment>
    <comment ref="F9" authorId="0" shapeId="0">
      <text>
        <r>
          <rPr>
            <b/>
            <sz val="9"/>
            <color indexed="81"/>
            <rFont val="Tahoma"/>
            <family val="2"/>
          </rPr>
          <t>Katarina M Amundsson:</t>
        </r>
        <r>
          <rPr>
            <sz val="9"/>
            <color indexed="81"/>
            <rFont val="Tahoma"/>
            <family val="2"/>
          </rPr>
          <t xml:space="preserve">
Fördelning efter antal ordrar 2014. Sammanställs i febr 2015.
Beräkning 47/53 % gjord utifrån tidigare års resultat.</t>
        </r>
      </text>
    </comment>
  </commentList>
</comments>
</file>

<file path=xl/comments3.xml><?xml version="1.0" encoding="utf-8"?>
<comments xmlns="http://schemas.openxmlformats.org/spreadsheetml/2006/main">
  <authors>
    <author>Katarina M Amundsson</author>
  </authors>
  <commentList>
    <comment ref="A4" authorId="0" shapeId="0">
      <text>
        <r>
          <rPr>
            <b/>
            <sz val="9"/>
            <color indexed="81"/>
            <rFont val="Tahoma"/>
            <family val="2"/>
          </rPr>
          <t>Katarina M Amundsson:</t>
        </r>
        <r>
          <rPr>
            <sz val="9"/>
            <color indexed="81"/>
            <rFont val="Tahoma"/>
            <family val="2"/>
          </rPr>
          <t xml:space="preserve">
25%,42 timmar/mån, 2 månader á 900:-</t>
        </r>
      </text>
    </comment>
    <comment ref="A6" authorId="0" shapeId="0">
      <text>
        <r>
          <rPr>
            <b/>
            <sz val="9"/>
            <color indexed="81"/>
            <rFont val="Tahoma"/>
            <family val="2"/>
          </rPr>
          <t>Katarina M Amundsson:</t>
        </r>
        <r>
          <rPr>
            <sz val="9"/>
            <color indexed="81"/>
            <rFont val="Tahoma"/>
            <family val="2"/>
          </rPr>
          <t xml:space="preserve">
75 h á 550:-</t>
        </r>
      </text>
    </comment>
    <comment ref="A8" authorId="0" shapeId="0">
      <text>
        <r>
          <rPr>
            <b/>
            <sz val="9"/>
            <color indexed="81"/>
            <rFont val="Tahoma"/>
            <family val="2"/>
          </rPr>
          <t>Katarina M Amundsson:</t>
        </r>
        <r>
          <rPr>
            <sz val="9"/>
            <color indexed="81"/>
            <rFont val="Tahoma"/>
            <family val="2"/>
          </rPr>
          <t xml:space="preserve">
134,4h/mån, 9 mån, 900 kr/h
</t>
        </r>
      </text>
    </comment>
    <comment ref="A9" authorId="0" shapeId="0">
      <text>
        <r>
          <rPr>
            <b/>
            <sz val="9"/>
            <color indexed="81"/>
            <rFont val="Tahoma"/>
            <family val="2"/>
          </rPr>
          <t>Katarina M Amundsson:</t>
        </r>
        <r>
          <rPr>
            <sz val="9"/>
            <color indexed="81"/>
            <rFont val="Tahoma"/>
            <family val="2"/>
          </rPr>
          <t xml:space="preserve">
84h/mån, 9 mån, 850 kr/h
</t>
        </r>
      </text>
    </comment>
    <comment ref="A10" authorId="0" shapeId="0">
      <text>
        <r>
          <rPr>
            <b/>
            <sz val="9"/>
            <color indexed="81"/>
            <rFont val="Tahoma"/>
            <family val="2"/>
          </rPr>
          <t>Katarina M Amundsson:</t>
        </r>
        <r>
          <rPr>
            <sz val="9"/>
            <color indexed="81"/>
            <rFont val="Tahoma"/>
            <family val="2"/>
          </rPr>
          <t xml:space="preserve">
80h * 550
</t>
        </r>
      </text>
    </comment>
    <comment ref="A12" authorId="0" shapeId="0">
      <text>
        <r>
          <rPr>
            <b/>
            <sz val="9"/>
            <color indexed="81"/>
            <rFont val="Tahoma"/>
            <family val="2"/>
          </rPr>
          <t>Katarina M Amundsson:</t>
        </r>
        <r>
          <rPr>
            <sz val="9"/>
            <color indexed="81"/>
            <rFont val="Tahoma"/>
            <family val="2"/>
          </rPr>
          <t xml:space="preserve">
25%,42 timmar/mån, 10 månader á 900:-</t>
        </r>
      </text>
    </comment>
    <comment ref="A14" authorId="0" shapeId="0">
      <text>
        <r>
          <rPr>
            <b/>
            <sz val="9"/>
            <color indexed="81"/>
            <rFont val="Tahoma"/>
            <charset val="1"/>
          </rPr>
          <t>Katarina M Amundsson:</t>
        </r>
        <r>
          <rPr>
            <sz val="9"/>
            <color indexed="81"/>
            <rFont val="Tahoma"/>
            <charset val="1"/>
          </rPr>
          <t xml:space="preserve">
från VGR IT kalkyl J Nordh infrastrukturkostnad</t>
        </r>
      </text>
    </comment>
  </commentList>
</comments>
</file>

<file path=xl/comments4.xml><?xml version="1.0" encoding="utf-8"?>
<comments xmlns="http://schemas.openxmlformats.org/spreadsheetml/2006/main">
  <authors>
    <author>Katarina M Amundsson</author>
  </authors>
  <commentList>
    <comment ref="D3" authorId="0" shapeId="0">
      <text>
        <r>
          <rPr>
            <b/>
            <sz val="9"/>
            <color indexed="81"/>
            <rFont val="Tahoma"/>
            <family val="2"/>
          </rPr>
          <t>Katarina M Amundsson:</t>
        </r>
        <r>
          <rPr>
            <sz val="9"/>
            <color indexed="81"/>
            <rFont val="Tahoma"/>
            <family val="2"/>
          </rPr>
          <t xml:space="preserve">
Tidigare vårdavtal med kommuner som hanterar Primärvårdsrehab försvinner 2015, därav ingen fakturering direkt till kommuner</t>
        </r>
      </text>
    </comment>
  </commentList>
</comments>
</file>

<file path=xl/sharedStrings.xml><?xml version="1.0" encoding="utf-8"?>
<sst xmlns="http://schemas.openxmlformats.org/spreadsheetml/2006/main" count="165" uniqueCount="115">
  <si>
    <t>GITS, ansvar 92920</t>
  </si>
  <si>
    <t>Funktionskoordinator SVPL 100%</t>
  </si>
  <si>
    <t>Funktionskoordinator webSESAM 50%</t>
  </si>
  <si>
    <t>webSESAM ansvar 92910</t>
  </si>
  <si>
    <t>Totalt GITS funktionsförvaltning</t>
  </si>
  <si>
    <t>VGR IT, Infrastruktur</t>
  </si>
  <si>
    <t>VGR IT, licens/UH Amesto</t>
  </si>
  <si>
    <t xml:space="preserve">Utveckling </t>
  </si>
  <si>
    <t>KLARA SVPL ansvar 92900</t>
  </si>
  <si>
    <t>Support(funktionskoordinator 50%)</t>
  </si>
  <si>
    <t>VGR IT, applikationsdrift</t>
  </si>
  <si>
    <t>VGR IT, systemadmin(Christer Wik)</t>
  </si>
  <si>
    <t>VGR IT, licens/UH Siemens</t>
  </si>
  <si>
    <t>Support, (inkluderat i leverantörsavtal)</t>
  </si>
  <si>
    <t>delsumma VGR IT debiterar</t>
  </si>
  <si>
    <t>Totalt KLARA SVPL</t>
  </si>
  <si>
    <t>Systemförvaltning</t>
  </si>
  <si>
    <t>Projekt</t>
  </si>
  <si>
    <t>Uppdrag</t>
  </si>
  <si>
    <t>underlag kostnad</t>
  </si>
  <si>
    <t>Total</t>
  </si>
  <si>
    <t>VGK</t>
  </si>
  <si>
    <t>VGR</t>
  </si>
  <si>
    <t>%</t>
  </si>
  <si>
    <t>Samordnare för införandet</t>
  </si>
  <si>
    <t xml:space="preserve">50% 84h/mån x 475 kr, 13 månader </t>
  </si>
  <si>
    <t>50/50</t>
  </si>
  <si>
    <t>Utbildning av superanvändare, utblokal, utb.mat</t>
  </si>
  <si>
    <t>30/70</t>
  </si>
  <si>
    <t>Övrigt, möteslokal, resor,  infomaterial m.m</t>
  </si>
  <si>
    <t>dec -14 - dec -15, 13 mån x 2000 kr</t>
  </si>
  <si>
    <t>TOTAL Införandeprojekt</t>
  </si>
  <si>
    <t>Införandekostnader totalt 13 mån</t>
  </si>
  <si>
    <t>År 2015 kostnader  12 månader</t>
  </si>
  <si>
    <t>Funktionskoordinator 50 %</t>
  </si>
  <si>
    <t>Beställningssystem</t>
  </si>
  <si>
    <t>Totalt SITHS gemensam kortutgivning</t>
  </si>
  <si>
    <t>Kommuner</t>
  </si>
  <si>
    <t xml:space="preserve">VGR </t>
  </si>
  <si>
    <t>30 %</t>
  </si>
  <si>
    <t>70 %</t>
  </si>
  <si>
    <t>Kommun</t>
  </si>
  <si>
    <t>VästKom</t>
  </si>
  <si>
    <t>50 %</t>
  </si>
  <si>
    <t>Siemens</t>
  </si>
  <si>
    <t>SVPL, upphandling, införande SVPL, ansvar 92303</t>
  </si>
  <si>
    <t>ca 47%</t>
  </si>
  <si>
    <t>ca 53 %</t>
  </si>
  <si>
    <t>Benämning</t>
  </si>
  <si>
    <t>Budget</t>
  </si>
  <si>
    <t>År 2014</t>
  </si>
  <si>
    <t>budget 2014</t>
  </si>
  <si>
    <t>BUDGET 2015, KLARA SVPL ansvar 92900</t>
  </si>
  <si>
    <t>Total budget 2015 gemensam IT samordning</t>
  </si>
  <si>
    <t>BUDGET 2015, GITS ansvar 92920</t>
  </si>
  <si>
    <t>Budget 2015, webSESAM ansvar 92910</t>
  </si>
  <si>
    <t>Budget 2014</t>
  </si>
  <si>
    <t>Budget 2015, Införande videomöte Lync över vårdgivargränser</t>
  </si>
  <si>
    <t>Budget 2015, Utveckling KLARA SVPL</t>
  </si>
  <si>
    <t>Totalt</t>
  </si>
  <si>
    <t>BUDGET 2015, SVPL, Upphandling och Införande ITMV,  ansvar 92303</t>
  </si>
  <si>
    <t>budget för avveckling och arkivering av nuvarande system saknas</t>
  </si>
  <si>
    <t>Upphandling jan/feb, OH kostnader(möteslokaler, resor)</t>
  </si>
  <si>
    <t>Införande mars-dec, Informatör 80 tim</t>
  </si>
  <si>
    <t>Införande mars-dec, OH kostnader</t>
  </si>
  <si>
    <t>50%</t>
  </si>
  <si>
    <t>TOTAL</t>
  </si>
  <si>
    <t>Kommuner och VästKom</t>
  </si>
  <si>
    <t>Upphandling jan/feb, VGR IT, IT-projektledare</t>
  </si>
  <si>
    <t>Upphandling jan/feb, resurser VGR IT</t>
  </si>
  <si>
    <t>Införande mars-dec, VGR IT, IT-projektledare</t>
  </si>
  <si>
    <t>Införande mars-dec, VGR IT resurser</t>
  </si>
  <si>
    <t>Införande mars-dec, Leverantörkostnad ½-år ny IT tjänst</t>
  </si>
  <si>
    <t>TOTALT förvaltning</t>
  </si>
  <si>
    <t>Införande mars-dec, VGR IT driftkostnad ½-år ny IT tjänst</t>
  </si>
  <si>
    <t>Totalt webSESAM</t>
  </si>
  <si>
    <t>Utveckling KLARA SVPL, ansvar 92302</t>
  </si>
  <si>
    <t>Införande mars-dec, Huvudprojektledare 80% 9 mån</t>
  </si>
  <si>
    <t>upphandling jan/febr projektstöd 50% 2 mån</t>
  </si>
  <si>
    <t>Införande mars-dec, Projektstöd 50%, 9 mån</t>
  </si>
  <si>
    <t>Lokalhyror</t>
  </si>
  <si>
    <t>Löneökning semesterersättning</t>
  </si>
  <si>
    <t>Oförutsedda kostnader, konto 7500</t>
  </si>
  <si>
    <t>Övriga personalkostnader</t>
  </si>
  <si>
    <t>TOTALT GITS</t>
  </si>
  <si>
    <t>ca 53%</t>
  </si>
  <si>
    <t>Övriga kostnader</t>
  </si>
  <si>
    <t xml:space="preserve">övriga kostnader </t>
  </si>
  <si>
    <t xml:space="preserve">Införande videomöte, </t>
  </si>
  <si>
    <t>30%</t>
  </si>
  <si>
    <t>2014: inkluderat i SVPL budget</t>
  </si>
  <si>
    <t>2014: inkluderat i webSESAM budget</t>
  </si>
  <si>
    <t>40% köp av HMC</t>
  </si>
  <si>
    <t>Utfall 2014 pekar mot ett överskott med ca 1,7 mnkr</t>
  </si>
  <si>
    <t xml:space="preserve">SITHS kort utgivning, budget om beslut fattas om  uppdrag med gemensamma utgivningskontor med regional samordnare </t>
  </si>
  <si>
    <t>Budget 2014 systemförvaltning</t>
  </si>
  <si>
    <t xml:space="preserve">Funktionsledare, </t>
  </si>
  <si>
    <r>
      <t xml:space="preserve">Budget 2015, SITHS kortutgivning, </t>
    </r>
    <r>
      <rPr>
        <b/>
        <sz val="12"/>
        <color rgb="FFFF0000"/>
        <rFont val="Calibri"/>
        <family val="2"/>
        <scheme val="minor"/>
      </rPr>
      <t>finns inga beslut om detta uppdrag</t>
    </r>
  </si>
  <si>
    <t>SITHS kortutgivning</t>
  </si>
  <si>
    <t>Överskott 2013 med 1,2 mnkr lyftes med till 2014 för att betala Skåne Q1 2014. Detta överskott finns kvar på intäktssidan</t>
  </si>
  <si>
    <t>Överskott 2014 för GITS funktionsförvaltning inkl. medflyttat överskott för 2013 pekar mot 2,9 mnkr</t>
  </si>
  <si>
    <t>Utveckling KLARA SVPL, troligen fakturerar leverantören viss del 2014</t>
  </si>
  <si>
    <t>GITS budget 2015, version 1,01</t>
  </si>
  <si>
    <t>Anställningsförhållande för GITS har ändrats under året och SITHS personalkostnader har förts på GITS ansvaret, vilket gör utfall svårt att följa, men utfall pekar mot ett överskott.</t>
  </si>
  <si>
    <t>Införande ITMV: kostnader för upphandlings- och införandeprojekt år 2015 av system för informationsöverföring mellan vårdgivare. 
Presenters av projektägare Jan Carlström i samband med presentation av  projektbudget 2014-2016.</t>
  </si>
  <si>
    <t xml:space="preserve">Budget införande av Lync videomöte över vårdgivargränser, samordnare som tidigast från 1 januari 2015. </t>
  </si>
  <si>
    <t>Tidigare års budget har legat  högt vad gäller  drift och andra linjens support hos leverantör</t>
  </si>
  <si>
    <t>TOTAL: Visar sammanställning av GITS budget  för både förvaltning av nuvarande gemensamma system och kommande projekt/uppdrag under 2015.</t>
  </si>
  <si>
    <t xml:space="preserve">GITS: Personalkostnader samlas 2015 under GITS ansvar. Tidigare har endast funktionsledaren budgeterats under GITS och funktionskoordinatorerna under resp. systemförvaltning. </t>
  </si>
  <si>
    <t xml:space="preserve">Kostnaderna omfattar funktionsledare 1,0 tjänst, funktionskoordinator 1,0 tjänst för  SVPL och 0,5 tjänst för webSESAM. Funktionskoordinator webSESAM 0,5 tjänst är inkluderad i webSESAM budget då den består av applikationssupport. </t>
  </si>
  <si>
    <t xml:space="preserve">WebSESAM: Fördelning av kostnader görs efter antal orders föregående år, vilket sammanställs i februari. Fördelning 47/53 % bygger på utfall av orders 2013. </t>
  </si>
  <si>
    <t xml:space="preserve">Ingen utveckling av webSESAM har skett under 2014. Utvecklingsbehov  är framtagna för år 2015. Utfall 2014 pekar mot överskott av 500 tkr. Budgeterad driftkostnad för VGR IT var högre än den debitering som gjorts. </t>
  </si>
  <si>
    <t>SVPL: Budget är 1,46 mnkr lägre jämfört med 2014 års budget</t>
  </si>
  <si>
    <t xml:space="preserve">Utfall 2014 pekar mot överskott av 1,2 mnkr och beror på höga budgetposter för applikationssupport hos leverantör, drift samt budgetpost för administration som ej använts.  VGR IT gjorde i oktober en återbetalningav 450 tkr  p.g.a. för hög debitering av driftkostnader.   
</t>
  </si>
  <si>
    <t>Budget 2015 är 1, 7 mnkr  lägre jämfört med 2014 p.g.a. tidigare för högt beräknad budget och  minskade kostnader vid ändrade finansieringsprinciper inom VGR där åtgärder vidtagits som ger minskade kostnader.  Budgeterad kostnad för drift/infrastruktur  från VGR IT  minskad med knappt 700 tkr inför år 2015 för de två systemen.</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</si>
</sst>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rgb="FFFF0000"/>
      <name val="Calibri"/>
      <family val="2"/>
      <scheme val="minor"/>
    </font>
    <font>
      <b/>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sz val="12"/>
      <color theme="1"/>
      <name val="Calibri"/>
      <family val="2"/>
      <scheme val="minor"/>
    </font>
    <font>
      <b/>
      <sz val="14"/>
      <color theme="1"/>
      <name val="Calibri"/>
      <family val="2"/>
      <scheme val="minor"/>
    </font>
    <font>
      <sz val="8"/>
      <color theme="1"/>
      <name val="Calibri"/>
      <family val="2"/>
    </font>
    <font>
      <sz val="8"/>
      <color theme="1"/>
      <name val="Calibri"/>
      <family val="2"/>
      <scheme val="minor"/>
    </font>
    <font>
      <b/>
      <sz val="8"/>
      <color theme="1"/>
      <name val="Calibri"/>
      <family val="2"/>
      <scheme val="minor"/>
    </font>
    <font>
      <i/>
      <sz val="11"/>
      <color theme="1"/>
      <name val="Calibri"/>
      <family val="2"/>
      <scheme val="minor"/>
    </font>
    <font>
      <sz val="11"/>
      <name val="Calibri"/>
      <family val="2"/>
      <scheme val="minor"/>
    </font>
    <font>
      <b/>
      <sz val="8"/>
      <name val="Arial"/>
      <family val="2"/>
    </font>
    <font>
      <sz val="8"/>
      <name val="Calibri"/>
      <family val="2"/>
    </font>
    <font>
      <b/>
      <sz val="8"/>
      <color theme="1"/>
      <name val="Calibri"/>
      <family val="2"/>
    </font>
    <font>
      <b/>
      <sz val="11"/>
      <color theme="1"/>
      <name val="Calibri"/>
      <family val="2"/>
    </font>
    <font>
      <b/>
      <i/>
      <sz val="11"/>
      <color theme="1"/>
      <name val="Calibri"/>
      <family val="2"/>
      <scheme val="minor"/>
    </font>
    <font>
      <b/>
      <sz val="11"/>
      <color theme="0" tint="-0.499984740745262"/>
      <name val="Calibri"/>
      <family val="2"/>
      <scheme val="minor"/>
    </font>
    <font>
      <sz val="11"/>
      <color theme="0" tint="-0.499984740745262"/>
      <name val="Calibri"/>
      <family val="2"/>
      <scheme val="minor"/>
    </font>
    <font>
      <b/>
      <sz val="14"/>
      <name val="Calibri"/>
      <family val="2"/>
      <scheme val="minor"/>
    </font>
    <font>
      <b/>
      <i/>
      <sz val="14"/>
      <color theme="1"/>
      <name val="Calibri"/>
      <family val="2"/>
      <scheme val="minor"/>
    </font>
    <font>
      <b/>
      <i/>
      <sz val="11"/>
      <color theme="0" tint="-0.499984740745262"/>
      <name val="Calibri"/>
      <family val="2"/>
      <scheme val="minor"/>
    </font>
    <font>
      <sz val="11"/>
      <color theme="0" tint="-0.34998626667073579"/>
      <name val="Calibri"/>
      <family val="2"/>
      <scheme val="minor"/>
    </font>
    <font>
      <b/>
      <sz val="12"/>
      <color rgb="FFFF0000"/>
      <name val="Calibri"/>
      <family val="2"/>
      <scheme val="minor"/>
    </font>
    <font>
      <sz val="12"/>
      <color theme="1"/>
      <name val="Calibri"/>
      <family val="2"/>
      <scheme val="minor"/>
    </font>
    <font>
      <sz val="12"/>
      <name val="Calibri"/>
      <family val="2"/>
      <scheme val="minor"/>
    </font>
  </fonts>
  <fills count="17">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theme="5"/>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rgb="FFAC75D5"/>
        <bgColor indexed="64"/>
      </patternFill>
    </fill>
    <fill>
      <patternFill patternType="solid">
        <fgColor rgb="FF33FF8F"/>
        <bgColor indexed="64"/>
      </patternFill>
    </fill>
    <fill>
      <patternFill patternType="solid">
        <fgColor rgb="FF33CAFF"/>
        <bgColor indexed="64"/>
      </patternFill>
    </fill>
    <fill>
      <patternFill patternType="solid">
        <fgColor rgb="FFFF3737"/>
        <bgColor indexed="64"/>
      </patternFill>
    </fill>
    <fill>
      <patternFill patternType="solid">
        <fgColor rgb="FF43CEFF"/>
        <bgColor indexed="64"/>
      </patternFill>
    </fill>
    <fill>
      <patternFill patternType="solid">
        <fgColor rgb="FF29FF8A"/>
        <bgColor indexed="64"/>
      </patternFill>
    </fill>
    <fill>
      <patternFill patternType="solid">
        <fgColor theme="0" tint="-0.249977111117893"/>
        <bgColor indexed="64"/>
      </patternFill>
    </fill>
    <fill>
      <patternFill patternType="solid">
        <fgColor rgb="FFFF5D5D"/>
        <bgColor indexed="64"/>
      </patternFill>
    </fill>
    <fill>
      <patternFill patternType="solid">
        <fgColor theme="5" tint="0.39997558519241921"/>
        <bgColor indexed="64"/>
      </patternFill>
    </fill>
    <fill>
      <patternFill patternType="solid">
        <fgColor rgb="FFB482DA"/>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s>
  <cellStyleXfs count="1">
    <xf numFmtId="0" fontId="0" fillId="0" borderId="0"/>
  </cellStyleXfs>
  <cellXfs count="110">
    <xf numFmtId="0" fontId="0" fillId="0" borderId="0" xfId="0"/>
    <xf numFmtId="3" fontId="0" fillId="0" borderId="0" xfId="0" applyNumberFormat="1"/>
    <xf numFmtId="0" fontId="2" fillId="0" borderId="0" xfId="0" applyFont="1"/>
    <xf numFmtId="3" fontId="2" fillId="0" borderId="0" xfId="0" applyNumberFormat="1" applyFont="1"/>
    <xf numFmtId="0" fontId="1" fillId="0" borderId="0" xfId="0" applyFont="1"/>
    <xf numFmtId="0" fontId="0" fillId="0" borderId="0" xfId="0" applyFont="1"/>
    <xf numFmtId="0" fontId="14" fillId="2" borderId="1" xfId="0" applyFont="1" applyFill="1" applyBorder="1" applyAlignment="1">
      <alignment horizontal="center"/>
    </xf>
    <xf numFmtId="0" fontId="9" fillId="0" borderId="0" xfId="0" applyFont="1" applyAlignment="1">
      <alignment horizontal="left"/>
    </xf>
    <xf numFmtId="0" fontId="9" fillId="0" borderId="0" xfId="0" applyFont="1" applyAlignment="1">
      <alignment horizontal="right"/>
    </xf>
    <xf numFmtId="3" fontId="9" fillId="0" borderId="0" xfId="0" applyNumberFormat="1" applyFont="1" applyAlignment="1">
      <alignment horizontal="right"/>
    </xf>
    <xf numFmtId="3" fontId="9" fillId="0" borderId="0" xfId="0" applyNumberFormat="1" applyFont="1" applyFill="1" applyAlignment="1">
      <alignment horizontal="right"/>
    </xf>
    <xf numFmtId="49" fontId="9" fillId="0" borderId="0" xfId="0" applyNumberFormat="1" applyFont="1" applyAlignment="1">
      <alignment horizontal="right"/>
    </xf>
    <xf numFmtId="0" fontId="15" fillId="0" borderId="0" xfId="0" applyFont="1" applyAlignment="1">
      <alignment horizontal="left"/>
    </xf>
    <xf numFmtId="0" fontId="10" fillId="0" borderId="0" xfId="0" applyFont="1"/>
    <xf numFmtId="3" fontId="10" fillId="0" borderId="0" xfId="0" applyNumberFormat="1" applyFont="1" applyAlignment="1">
      <alignment horizontal="right"/>
    </xf>
    <xf numFmtId="3" fontId="10" fillId="0" borderId="0" xfId="0" applyNumberFormat="1" applyFont="1"/>
    <xf numFmtId="49" fontId="10" fillId="0" borderId="0" xfId="0" applyNumberFormat="1" applyFont="1"/>
    <xf numFmtId="0" fontId="16" fillId="0" borderId="2" xfId="0" applyFont="1" applyBorder="1" applyAlignment="1">
      <alignment horizontal="left"/>
    </xf>
    <xf numFmtId="0" fontId="11" fillId="0" borderId="2" xfId="0" applyFont="1" applyBorder="1"/>
    <xf numFmtId="3" fontId="11" fillId="0" borderId="2" xfId="0" applyNumberFormat="1" applyFont="1" applyBorder="1"/>
    <xf numFmtId="0" fontId="0" fillId="0" borderId="2" xfId="0" applyBorder="1"/>
    <xf numFmtId="3" fontId="0" fillId="0" borderId="2" xfId="0" applyNumberFormat="1" applyBorder="1"/>
    <xf numFmtId="0" fontId="2" fillId="0" borderId="2" xfId="0" applyFont="1" applyBorder="1"/>
    <xf numFmtId="3" fontId="2" fillId="0" borderId="2" xfId="0" applyNumberFormat="1" applyFont="1" applyBorder="1"/>
    <xf numFmtId="0" fontId="17" fillId="0" borderId="2" xfId="0" applyFont="1" applyBorder="1" applyAlignment="1">
      <alignment horizontal="left"/>
    </xf>
    <xf numFmtId="3" fontId="0" fillId="0" borderId="0" xfId="0" applyNumberFormat="1" applyAlignment="1">
      <alignment horizontal="right"/>
    </xf>
    <xf numFmtId="9" fontId="0" fillId="0" borderId="0" xfId="0" applyNumberFormat="1"/>
    <xf numFmtId="49" fontId="0" fillId="0" borderId="0" xfId="0" applyNumberFormat="1" applyAlignment="1">
      <alignment horizontal="right"/>
    </xf>
    <xf numFmtId="0" fontId="2" fillId="3" borderId="0" xfId="0" applyFont="1" applyFill="1" applyAlignment="1">
      <alignment horizontal="left"/>
    </xf>
    <xf numFmtId="0" fontId="2" fillId="3" borderId="0" xfId="0" applyFont="1" applyFill="1" applyAlignment="1">
      <alignment horizontal="center"/>
    </xf>
    <xf numFmtId="0" fontId="0" fillId="3" borderId="0" xfId="0" applyFill="1" applyAlignment="1">
      <alignment horizontal="center"/>
    </xf>
    <xf numFmtId="0" fontId="7" fillId="0" borderId="0" xfId="0" applyFont="1" applyAlignment="1">
      <alignment horizontal="center"/>
    </xf>
    <xf numFmtId="0" fontId="2" fillId="3" borderId="0" xfId="0" applyFont="1" applyFill="1"/>
    <xf numFmtId="0" fontId="14" fillId="3" borderId="1" xfId="0" applyFont="1" applyFill="1" applyBorder="1" applyAlignment="1">
      <alignment horizontal="center"/>
    </xf>
    <xf numFmtId="0" fontId="2" fillId="3" borderId="0" xfId="0" applyFont="1" applyFill="1" applyAlignment="1">
      <alignment horizontal="right"/>
    </xf>
    <xf numFmtId="3" fontId="1" fillId="0" borderId="0" xfId="0" applyNumberFormat="1" applyFont="1"/>
    <xf numFmtId="0" fontId="8" fillId="0" borderId="2" xfId="0" applyFont="1" applyBorder="1"/>
    <xf numFmtId="3" fontId="0" fillId="0" borderId="0" xfId="0" applyNumberFormat="1" applyBorder="1"/>
    <xf numFmtId="3" fontId="0" fillId="0" borderId="0" xfId="0" applyNumberFormat="1" applyBorder="1" applyAlignment="1"/>
    <xf numFmtId="3" fontId="13" fillId="0" borderId="0" xfId="0" applyNumberFormat="1" applyFont="1" applyBorder="1" applyAlignment="1">
      <alignment wrapText="1"/>
    </xf>
    <xf numFmtId="0" fontId="2" fillId="0" borderId="2" xfId="0" applyFont="1" applyFill="1" applyBorder="1"/>
    <xf numFmtId="0" fontId="2" fillId="0" borderId="2" xfId="0" applyFont="1" applyFill="1" applyBorder="1" applyAlignment="1">
      <alignment horizontal="center"/>
    </xf>
    <xf numFmtId="0" fontId="18" fillId="0" borderId="2" xfId="0" applyFont="1" applyBorder="1"/>
    <xf numFmtId="3" fontId="18" fillId="0" borderId="2" xfId="0" applyNumberFormat="1" applyFont="1" applyBorder="1"/>
    <xf numFmtId="0" fontId="19" fillId="0" borderId="2" xfId="0" applyFont="1" applyBorder="1"/>
    <xf numFmtId="3" fontId="19" fillId="0" borderId="0" xfId="0" applyNumberFormat="1" applyFont="1"/>
    <xf numFmtId="3" fontId="19" fillId="0" borderId="2" xfId="0" applyNumberFormat="1" applyFont="1" applyBorder="1"/>
    <xf numFmtId="0" fontId="20" fillId="3" borderId="0" xfId="0" applyFont="1" applyFill="1"/>
    <xf numFmtId="3" fontId="20" fillId="0" borderId="0" xfId="0" applyNumberFormat="1" applyFont="1"/>
    <xf numFmtId="0" fontId="20" fillId="0" borderId="0" xfId="0" applyFont="1"/>
    <xf numFmtId="0" fontId="19" fillId="3" borderId="0" xfId="0" applyFont="1" applyFill="1" applyAlignment="1">
      <alignment horizontal="center"/>
    </xf>
    <xf numFmtId="0" fontId="19" fillId="3" borderId="5" xfId="0" applyFont="1" applyFill="1" applyBorder="1"/>
    <xf numFmtId="0" fontId="21" fillId="0" borderId="2" xfId="0" applyFont="1" applyBorder="1"/>
    <xf numFmtId="0" fontId="22" fillId="0" borderId="2" xfId="0" applyFont="1" applyBorder="1"/>
    <xf numFmtId="3" fontId="22" fillId="0" borderId="2" xfId="0" applyNumberFormat="1" applyFont="1" applyBorder="1"/>
    <xf numFmtId="3" fontId="12" fillId="0" borderId="2" xfId="0" applyNumberFormat="1" applyFont="1" applyBorder="1"/>
    <xf numFmtId="0" fontId="0" fillId="0" borderId="0" xfId="0" applyAlignment="1">
      <alignment horizontal="center"/>
    </xf>
    <xf numFmtId="3" fontId="23" fillId="0" borderId="0" xfId="0" applyNumberFormat="1" applyFont="1"/>
    <xf numFmtId="0" fontId="18" fillId="0" borderId="0" xfId="0" applyFont="1"/>
    <xf numFmtId="3" fontId="18" fillId="0" borderId="0" xfId="0" applyNumberFormat="1" applyFont="1"/>
    <xf numFmtId="0" fontId="0" fillId="3" borderId="0" xfId="0" applyFill="1"/>
    <xf numFmtId="3" fontId="24" fillId="0" borderId="0" xfId="0" applyNumberFormat="1" applyFont="1"/>
    <xf numFmtId="3" fontId="0" fillId="0" borderId="1" xfId="0" applyNumberFormat="1" applyFont="1" applyFill="1" applyBorder="1"/>
    <xf numFmtId="1" fontId="0" fillId="0" borderId="0" xfId="0" applyNumberFormat="1"/>
    <xf numFmtId="2" fontId="0" fillId="0" borderId="0" xfId="0" applyNumberFormat="1"/>
    <xf numFmtId="3" fontId="0" fillId="0" borderId="0" xfId="0" applyNumberFormat="1" applyFont="1"/>
    <xf numFmtId="0" fontId="19" fillId="0" borderId="5" xfId="0" applyFont="1" applyFill="1" applyBorder="1"/>
    <xf numFmtId="0" fontId="0" fillId="0" borderId="0" xfId="0" applyBorder="1"/>
    <xf numFmtId="3" fontId="19" fillId="0" borderId="0" xfId="0" applyNumberFormat="1" applyFont="1" applyBorder="1"/>
    <xf numFmtId="3" fontId="2" fillId="0" borderId="0" xfId="0" applyNumberFormat="1" applyFont="1" applyBorder="1"/>
    <xf numFmtId="0" fontId="2" fillId="0" borderId="0" xfId="0" applyFont="1" applyFill="1" applyAlignment="1">
      <alignment horizontal="center"/>
    </xf>
    <xf numFmtId="3" fontId="26" fillId="0" borderId="2" xfId="0" applyNumberFormat="1" applyFont="1" applyBorder="1"/>
    <xf numFmtId="0" fontId="26" fillId="0" borderId="0" xfId="0" applyFont="1"/>
    <xf numFmtId="0" fontId="26" fillId="0" borderId="0" xfId="0" applyFont="1" applyAlignment="1">
      <alignment horizontal="right"/>
    </xf>
    <xf numFmtId="3" fontId="26" fillId="0" borderId="0" xfId="0" applyNumberFormat="1" applyFont="1"/>
    <xf numFmtId="3" fontId="26" fillId="0" borderId="0" xfId="0" applyNumberFormat="1" applyFont="1" applyFill="1" applyBorder="1"/>
    <xf numFmtId="0" fontId="26" fillId="0" borderId="0" xfId="0" applyFont="1" applyFill="1" applyBorder="1" applyAlignment="1">
      <alignment horizontal="right"/>
    </xf>
    <xf numFmtId="0" fontId="26" fillId="0" borderId="0" xfId="0" applyFont="1" applyFill="1" applyBorder="1"/>
    <xf numFmtId="3" fontId="26" fillId="0" borderId="0" xfId="0" applyNumberFormat="1" applyFont="1" applyFill="1" applyBorder="1" applyAlignment="1"/>
    <xf numFmtId="0" fontId="0" fillId="0" borderId="0" xfId="0" applyFill="1" applyBorder="1"/>
    <xf numFmtId="3" fontId="27" fillId="0" borderId="0" xfId="0" applyNumberFormat="1" applyFont="1" applyFill="1" applyBorder="1"/>
    <xf numFmtId="0" fontId="27" fillId="0" borderId="0" xfId="0" applyFont="1" applyFill="1" applyBorder="1" applyAlignment="1">
      <alignment horizontal="right"/>
    </xf>
    <xf numFmtId="0" fontId="26" fillId="6" borderId="0" xfId="0" applyFont="1" applyFill="1" applyBorder="1" applyAlignment="1">
      <alignment horizontal="left"/>
    </xf>
    <xf numFmtId="0" fontId="26" fillId="10" borderId="0" xfId="0" applyFont="1" applyFill="1" applyBorder="1" applyAlignment="1">
      <alignment horizontal="left" wrapText="1"/>
    </xf>
    <xf numFmtId="0" fontId="26" fillId="10" borderId="0" xfId="0" applyFont="1" applyFill="1" applyBorder="1" applyAlignment="1">
      <alignment horizontal="left"/>
    </xf>
    <xf numFmtId="0" fontId="26" fillId="3" borderId="0" xfId="0" applyFont="1" applyFill="1" applyBorder="1" applyAlignment="1">
      <alignment horizontal="left" wrapText="1"/>
    </xf>
    <xf numFmtId="0" fontId="26" fillId="7" borderId="0" xfId="0" applyFont="1" applyFill="1" applyBorder="1" applyAlignment="1">
      <alignment horizontal="left" wrapText="1"/>
    </xf>
    <xf numFmtId="0" fontId="26" fillId="7" borderId="0" xfId="0" applyFont="1" applyFill="1" applyBorder="1" applyAlignment="1">
      <alignment horizontal="left"/>
    </xf>
    <xf numFmtId="0" fontId="26" fillId="4" borderId="0" xfId="0" applyFont="1" applyFill="1" applyBorder="1" applyAlignment="1">
      <alignment horizontal="left"/>
    </xf>
    <xf numFmtId="0" fontId="26" fillId="5" borderId="0" xfId="0" applyFont="1" applyFill="1" applyBorder="1" applyAlignment="1">
      <alignment horizontal="left"/>
    </xf>
    <xf numFmtId="0" fontId="26"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26" fillId="3" borderId="0" xfId="0" applyFont="1" applyFill="1" applyBorder="1" applyAlignment="1">
      <alignment wrapText="1"/>
    </xf>
    <xf numFmtId="0" fontId="27" fillId="9" borderId="0" xfId="0" applyFont="1" applyFill="1" applyBorder="1" applyAlignment="1">
      <alignment horizontal="left" wrapText="1"/>
    </xf>
    <xf numFmtId="0" fontId="27" fillId="9" borderId="0" xfId="0" applyFont="1" applyFill="1" applyBorder="1" applyAlignment="1">
      <alignment horizontal="left"/>
    </xf>
    <xf numFmtId="0" fontId="26" fillId="8" borderId="0" xfId="0" applyFont="1" applyFill="1" applyBorder="1" applyAlignment="1">
      <alignment horizontal="left" wrapText="1"/>
    </xf>
    <xf numFmtId="0" fontId="26" fillId="8" borderId="0" xfId="0" applyFont="1" applyFill="1" applyBorder="1" applyAlignment="1">
      <alignment horizontal="left"/>
    </xf>
    <xf numFmtId="0" fontId="26" fillId="12" borderId="0" xfId="0" applyFont="1" applyFill="1" applyBorder="1" applyAlignment="1">
      <alignment horizontal="left"/>
    </xf>
    <xf numFmtId="0" fontId="26" fillId="0" borderId="2" xfId="0" applyFont="1" applyBorder="1" applyAlignment="1">
      <alignment horizontal="center"/>
    </xf>
    <xf numFmtId="0" fontId="8" fillId="12" borderId="0" xfId="0" applyFont="1" applyFill="1" applyAlignment="1">
      <alignment horizontal="center"/>
    </xf>
    <xf numFmtId="0" fontId="7" fillId="3" borderId="0" xfId="0" applyFont="1" applyFill="1" applyAlignment="1">
      <alignment horizontal="center"/>
    </xf>
    <xf numFmtId="0" fontId="7" fillId="11" borderId="0" xfId="0" applyFont="1" applyFill="1" applyAlignment="1">
      <alignment horizontal="center"/>
    </xf>
    <xf numFmtId="0" fontId="7" fillId="14" borderId="0" xfId="0" applyFont="1" applyFill="1" applyAlignment="1">
      <alignment horizontal="center"/>
    </xf>
    <xf numFmtId="0" fontId="7" fillId="16" borderId="0" xfId="0" applyFont="1" applyFill="1" applyAlignment="1">
      <alignment horizontal="center"/>
    </xf>
    <xf numFmtId="0" fontId="7" fillId="15" borderId="0" xfId="0" applyFont="1" applyFill="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5" borderId="0" xfId="0" applyFont="1" applyFill="1" applyAlignment="1">
      <alignment horizontal="center"/>
    </xf>
    <xf numFmtId="0" fontId="7" fillId="13"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29FF8A"/>
      <color rgb="FFB482DA"/>
      <color rgb="FFFF5D5D"/>
      <color rgb="FFFFFFFF"/>
      <color rgb="FF43CEFF"/>
      <color rgb="FFFF3737"/>
      <color rgb="FF33CAFF"/>
      <color rgb="FF33FF8F"/>
      <color rgb="FFAC7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6"/>
  <sheetViews>
    <sheetView workbookViewId="0">
      <selection activeCell="A6" sqref="A6:Q6"/>
    </sheetView>
  </sheetViews>
  <sheetFormatPr defaultRowHeight="15" x14ac:dyDescent="0.25"/>
  <cols>
    <col min="17" max="17" width="2.7109375" customWidth="1"/>
    <col min="18" max="18" width="11" customWidth="1"/>
    <col min="19" max="19" width="23.85546875" customWidth="1"/>
  </cols>
  <sheetData>
    <row r="1" spans="1:21" ht="20.25" customHeight="1" x14ac:dyDescent="0.25">
      <c r="A1" s="91" t="s">
        <v>102</v>
      </c>
      <c r="B1" s="92"/>
      <c r="C1" s="92"/>
      <c r="D1" s="92"/>
      <c r="E1" s="92"/>
      <c r="F1" s="92"/>
      <c r="G1" s="92"/>
      <c r="H1" s="92"/>
      <c r="I1" s="92"/>
      <c r="J1" s="92"/>
      <c r="K1" s="92"/>
      <c r="L1" s="92"/>
      <c r="M1" s="92"/>
      <c r="N1" s="92"/>
      <c r="O1" s="92"/>
      <c r="P1" s="92"/>
      <c r="Q1" s="92"/>
      <c r="R1" s="1"/>
      <c r="S1" s="67"/>
    </row>
    <row r="2" spans="1:21" x14ac:dyDescent="0.25">
      <c r="A2" s="67"/>
      <c r="B2" s="67"/>
      <c r="C2" s="67"/>
      <c r="D2" s="67"/>
      <c r="E2" s="67"/>
      <c r="F2" s="67"/>
      <c r="G2" s="67"/>
      <c r="H2" s="67"/>
      <c r="I2" s="67"/>
      <c r="J2" s="67"/>
      <c r="K2" s="67"/>
      <c r="L2" s="67"/>
      <c r="M2" s="67"/>
      <c r="N2" s="67"/>
      <c r="O2" s="67"/>
      <c r="P2" s="67"/>
      <c r="Q2" s="67"/>
      <c r="R2" s="67"/>
      <c r="S2" s="67"/>
      <c r="T2" s="67"/>
      <c r="U2" s="67"/>
    </row>
    <row r="3" spans="1:21" ht="15" customHeight="1" x14ac:dyDescent="0.25">
      <c r="A3" s="96" t="s">
        <v>107</v>
      </c>
      <c r="B3" s="96"/>
      <c r="C3" s="96"/>
      <c r="D3" s="96"/>
      <c r="E3" s="96"/>
      <c r="F3" s="96"/>
      <c r="G3" s="96"/>
      <c r="H3" s="96"/>
      <c r="I3" s="96"/>
      <c r="J3" s="96"/>
      <c r="K3" s="96"/>
      <c r="L3" s="96"/>
      <c r="M3" s="96"/>
      <c r="N3" s="96"/>
      <c r="O3" s="96"/>
      <c r="P3" s="96"/>
      <c r="Q3" s="96"/>
      <c r="R3" s="75"/>
      <c r="S3" s="76"/>
      <c r="T3" s="67"/>
      <c r="U3" s="67"/>
    </row>
    <row r="4" spans="1:21" ht="46.5" customHeight="1" x14ac:dyDescent="0.25">
      <c r="A4" s="96" t="s">
        <v>114</v>
      </c>
      <c r="B4" s="96"/>
      <c r="C4" s="96"/>
      <c r="D4" s="96"/>
      <c r="E4" s="96"/>
      <c r="F4" s="96"/>
      <c r="G4" s="96"/>
      <c r="H4" s="96"/>
      <c r="I4" s="96"/>
      <c r="J4" s="96"/>
      <c r="K4" s="96"/>
      <c r="L4" s="96"/>
      <c r="M4" s="96"/>
      <c r="N4" s="96"/>
      <c r="O4" s="96"/>
      <c r="P4" s="96"/>
      <c r="Q4" s="96"/>
      <c r="R4" s="77"/>
      <c r="S4" s="76"/>
      <c r="T4" s="67"/>
      <c r="U4" s="67"/>
    </row>
    <row r="5" spans="1:21" ht="15.75" x14ac:dyDescent="0.25">
      <c r="A5" s="97" t="s">
        <v>93</v>
      </c>
      <c r="B5" s="97"/>
      <c r="C5" s="97"/>
      <c r="D5" s="97"/>
      <c r="E5" s="97"/>
      <c r="F5" s="97"/>
      <c r="G5" s="97"/>
      <c r="H5" s="97"/>
      <c r="I5" s="97"/>
      <c r="J5" s="97"/>
      <c r="K5" s="97"/>
      <c r="L5" s="97"/>
      <c r="M5" s="97"/>
      <c r="N5" s="97"/>
      <c r="O5" s="97"/>
      <c r="P5" s="97"/>
      <c r="Q5" s="97"/>
      <c r="R5" s="75"/>
      <c r="S5" s="76"/>
    </row>
    <row r="6" spans="1:21" ht="15.75" x14ac:dyDescent="0.25">
      <c r="A6" s="97" t="s">
        <v>99</v>
      </c>
      <c r="B6" s="97"/>
      <c r="C6" s="97"/>
      <c r="D6" s="97"/>
      <c r="E6" s="97"/>
      <c r="F6" s="97"/>
      <c r="G6" s="97"/>
      <c r="H6" s="97"/>
      <c r="I6" s="97"/>
      <c r="J6" s="97"/>
      <c r="K6" s="97"/>
      <c r="L6" s="97"/>
      <c r="M6" s="97"/>
      <c r="N6" s="97"/>
      <c r="O6" s="97"/>
      <c r="P6" s="97"/>
      <c r="Q6" s="97"/>
      <c r="R6" s="78"/>
      <c r="S6" s="76"/>
    </row>
    <row r="7" spans="1:21" ht="15.75" x14ac:dyDescent="0.25">
      <c r="A7" s="98" t="s">
        <v>100</v>
      </c>
      <c r="B7" s="98"/>
      <c r="C7" s="98"/>
      <c r="D7" s="98"/>
      <c r="E7" s="98"/>
      <c r="F7" s="98"/>
      <c r="G7" s="98"/>
      <c r="H7" s="98"/>
      <c r="I7" s="98"/>
      <c r="J7" s="98"/>
      <c r="K7" s="98"/>
      <c r="L7" s="98"/>
      <c r="M7" s="98"/>
      <c r="N7" s="98"/>
      <c r="O7" s="98"/>
      <c r="P7" s="98"/>
      <c r="Q7" s="98"/>
      <c r="R7" s="78"/>
      <c r="S7" s="79"/>
    </row>
    <row r="8" spans="1:21" ht="15.75" x14ac:dyDescent="0.25">
      <c r="A8" s="72"/>
      <c r="B8" s="72"/>
      <c r="C8" s="72"/>
      <c r="D8" s="72"/>
      <c r="E8" s="72"/>
      <c r="F8" s="72"/>
      <c r="G8" s="72"/>
      <c r="H8" s="72"/>
      <c r="I8" s="72"/>
      <c r="J8" s="72"/>
      <c r="K8" s="72"/>
      <c r="L8" s="72"/>
      <c r="M8" s="72"/>
      <c r="N8" s="72"/>
      <c r="O8" s="72"/>
      <c r="P8" s="72"/>
      <c r="Q8" s="72"/>
      <c r="R8" s="72"/>
      <c r="S8" s="72"/>
    </row>
    <row r="9" spans="1:21" ht="30.75" customHeight="1" x14ac:dyDescent="0.25">
      <c r="A9" s="85" t="s">
        <v>108</v>
      </c>
      <c r="B9" s="85"/>
      <c r="C9" s="85"/>
      <c r="D9" s="85"/>
      <c r="E9" s="85"/>
      <c r="F9" s="85"/>
      <c r="G9" s="85"/>
      <c r="H9" s="85"/>
      <c r="I9" s="85"/>
      <c r="J9" s="85"/>
      <c r="K9" s="85"/>
      <c r="L9" s="85"/>
      <c r="M9" s="85"/>
      <c r="N9" s="85"/>
      <c r="O9" s="85"/>
      <c r="P9" s="85"/>
      <c r="Q9" s="85"/>
      <c r="R9" s="75"/>
      <c r="S9" s="76"/>
    </row>
    <row r="10" spans="1:21" ht="32.25" customHeight="1" x14ac:dyDescent="0.25">
      <c r="A10" s="85" t="s">
        <v>109</v>
      </c>
      <c r="B10" s="85"/>
      <c r="C10" s="85"/>
      <c r="D10" s="85"/>
      <c r="E10" s="85"/>
      <c r="F10" s="85"/>
      <c r="G10" s="85"/>
      <c r="H10" s="85"/>
      <c r="I10" s="85"/>
      <c r="J10" s="85"/>
      <c r="K10" s="85"/>
      <c r="L10" s="85"/>
      <c r="M10" s="85"/>
      <c r="N10" s="85"/>
      <c r="O10" s="85"/>
      <c r="P10" s="85"/>
      <c r="Q10" s="85"/>
      <c r="R10" s="75"/>
      <c r="S10" s="76"/>
    </row>
    <row r="11" spans="1:21" ht="33" customHeight="1" x14ac:dyDescent="0.25">
      <c r="A11" s="93" t="s">
        <v>103</v>
      </c>
      <c r="B11" s="93"/>
      <c r="C11" s="93"/>
      <c r="D11" s="93"/>
      <c r="E11" s="93"/>
      <c r="F11" s="93"/>
      <c r="G11" s="93"/>
      <c r="H11" s="93"/>
      <c r="I11" s="93"/>
      <c r="J11" s="93"/>
      <c r="K11" s="93"/>
      <c r="L11" s="93"/>
      <c r="M11" s="93"/>
      <c r="N11" s="93"/>
      <c r="O11" s="93"/>
      <c r="P11" s="93"/>
      <c r="Q11" s="93"/>
      <c r="R11" s="77"/>
      <c r="S11" s="76"/>
    </row>
    <row r="12" spans="1:21" ht="15.75" x14ac:dyDescent="0.25">
      <c r="A12" s="72"/>
      <c r="B12" s="72"/>
      <c r="C12" s="72"/>
      <c r="D12" s="72"/>
      <c r="E12" s="72"/>
      <c r="F12" s="72"/>
      <c r="G12" s="72"/>
      <c r="H12" s="72"/>
      <c r="I12" s="72"/>
      <c r="J12" s="72"/>
      <c r="K12" s="72"/>
      <c r="L12" s="72"/>
      <c r="M12" s="72"/>
      <c r="N12" s="72"/>
      <c r="O12" s="72"/>
      <c r="P12" s="72"/>
      <c r="Q12" s="72"/>
      <c r="R12" s="72"/>
      <c r="S12" s="73"/>
    </row>
    <row r="13" spans="1:21" ht="18" customHeight="1" x14ac:dyDescent="0.25">
      <c r="A13" s="94" t="s">
        <v>110</v>
      </c>
      <c r="B13" s="95"/>
      <c r="C13" s="95"/>
      <c r="D13" s="95"/>
      <c r="E13" s="95"/>
      <c r="F13" s="95"/>
      <c r="G13" s="95"/>
      <c r="H13" s="95"/>
      <c r="I13" s="95"/>
      <c r="J13" s="95"/>
      <c r="K13" s="95"/>
      <c r="L13" s="95"/>
      <c r="M13" s="95"/>
      <c r="N13" s="95"/>
      <c r="O13" s="95"/>
      <c r="P13" s="95"/>
      <c r="Q13" s="95"/>
      <c r="R13" s="80"/>
      <c r="S13" s="81"/>
    </row>
    <row r="14" spans="1:21" ht="30.75" customHeight="1" x14ac:dyDescent="0.25">
      <c r="A14" s="94" t="s">
        <v>111</v>
      </c>
      <c r="B14" s="94"/>
      <c r="C14" s="94"/>
      <c r="D14" s="94"/>
      <c r="E14" s="94"/>
      <c r="F14" s="94"/>
      <c r="G14" s="94"/>
      <c r="H14" s="94"/>
      <c r="I14" s="94"/>
      <c r="J14" s="94"/>
      <c r="K14" s="94"/>
      <c r="L14" s="94"/>
      <c r="M14" s="94"/>
      <c r="N14" s="94"/>
      <c r="O14" s="94"/>
      <c r="P14" s="94"/>
      <c r="Q14" s="94"/>
      <c r="R14" s="80"/>
      <c r="S14" s="81"/>
    </row>
    <row r="15" spans="1:21" ht="15.75" x14ac:dyDescent="0.25">
      <c r="A15" s="90"/>
      <c r="B15" s="90"/>
      <c r="C15" s="90"/>
      <c r="D15" s="90"/>
      <c r="E15" s="90"/>
      <c r="F15" s="90"/>
      <c r="G15" s="90"/>
      <c r="H15" s="90"/>
      <c r="I15" s="90"/>
      <c r="J15" s="90"/>
      <c r="K15" s="90"/>
      <c r="L15" s="90"/>
      <c r="M15" s="90"/>
      <c r="N15" s="90"/>
      <c r="O15" s="90"/>
      <c r="P15" s="90"/>
      <c r="Q15" s="90"/>
      <c r="R15" s="72"/>
      <c r="S15" s="73"/>
    </row>
    <row r="16" spans="1:21" ht="15.75" x14ac:dyDescent="0.25">
      <c r="A16" s="84" t="s">
        <v>112</v>
      </c>
      <c r="B16" s="84"/>
      <c r="C16" s="84"/>
      <c r="D16" s="84"/>
      <c r="E16" s="84"/>
      <c r="F16" s="84"/>
      <c r="G16" s="84"/>
      <c r="H16" s="84"/>
      <c r="I16" s="84"/>
      <c r="J16" s="84"/>
      <c r="K16" s="84"/>
      <c r="L16" s="84"/>
      <c r="M16" s="84"/>
      <c r="N16" s="84"/>
      <c r="O16" s="84"/>
      <c r="P16" s="84"/>
      <c r="Q16" s="84"/>
      <c r="R16" s="75"/>
      <c r="S16" s="76"/>
    </row>
    <row r="17" spans="1:19" ht="15.75" x14ac:dyDescent="0.25">
      <c r="A17" s="84" t="s">
        <v>106</v>
      </c>
      <c r="B17" s="84"/>
      <c r="C17" s="84"/>
      <c r="D17" s="84"/>
      <c r="E17" s="84"/>
      <c r="F17" s="84"/>
      <c r="G17" s="84"/>
      <c r="H17" s="84"/>
      <c r="I17" s="84"/>
      <c r="J17" s="84"/>
      <c r="K17" s="84"/>
      <c r="L17" s="84"/>
      <c r="M17" s="84"/>
      <c r="N17" s="84"/>
      <c r="O17" s="84"/>
      <c r="P17" s="84"/>
      <c r="Q17" s="84"/>
      <c r="R17" s="75"/>
      <c r="S17" s="76"/>
    </row>
    <row r="18" spans="1:19" ht="29.25" customHeight="1" x14ac:dyDescent="0.25">
      <c r="A18" s="83" t="s">
        <v>113</v>
      </c>
      <c r="B18" s="84"/>
      <c r="C18" s="84"/>
      <c r="D18" s="84"/>
      <c r="E18" s="84"/>
      <c r="F18" s="84"/>
      <c r="G18" s="84"/>
      <c r="H18" s="84"/>
      <c r="I18" s="84"/>
      <c r="J18" s="84"/>
      <c r="K18" s="84"/>
      <c r="L18" s="84"/>
      <c r="M18" s="84"/>
      <c r="N18" s="84"/>
      <c r="O18" s="84"/>
      <c r="P18" s="84"/>
      <c r="Q18" s="84"/>
      <c r="R18" s="75"/>
      <c r="S18" s="76"/>
    </row>
    <row r="19" spans="1:19" ht="15.75" x14ac:dyDescent="0.25">
      <c r="A19" s="90"/>
      <c r="B19" s="90"/>
      <c r="C19" s="90"/>
      <c r="D19" s="90"/>
      <c r="E19" s="90"/>
      <c r="F19" s="90"/>
      <c r="G19" s="90"/>
      <c r="H19" s="90"/>
      <c r="I19" s="90"/>
      <c r="J19" s="90"/>
      <c r="K19" s="90"/>
      <c r="L19" s="90"/>
      <c r="M19" s="90"/>
      <c r="N19" s="90"/>
      <c r="O19" s="90"/>
      <c r="P19" s="90"/>
      <c r="Q19" s="90"/>
      <c r="R19" s="72"/>
      <c r="S19" s="73"/>
    </row>
    <row r="20" spans="1:19" ht="30.75" customHeight="1" x14ac:dyDescent="0.25">
      <c r="A20" s="86" t="s">
        <v>104</v>
      </c>
      <c r="B20" s="87"/>
      <c r="C20" s="87"/>
      <c r="D20" s="87"/>
      <c r="E20" s="87"/>
      <c r="F20" s="87"/>
      <c r="G20" s="87"/>
      <c r="H20" s="87"/>
      <c r="I20" s="87"/>
      <c r="J20" s="87"/>
      <c r="K20" s="87"/>
      <c r="L20" s="87"/>
      <c r="M20" s="87"/>
      <c r="N20" s="87"/>
      <c r="O20" s="87"/>
      <c r="P20" s="87"/>
      <c r="Q20" s="87"/>
      <c r="R20" s="75"/>
      <c r="S20" s="76"/>
    </row>
    <row r="21" spans="1:19" ht="15.75" x14ac:dyDescent="0.25">
      <c r="A21" s="72"/>
      <c r="B21" s="72"/>
      <c r="C21" s="72"/>
      <c r="D21" s="72"/>
      <c r="E21" s="72"/>
      <c r="F21" s="72"/>
      <c r="G21" s="72"/>
      <c r="H21" s="72"/>
      <c r="I21" s="72"/>
      <c r="J21" s="72"/>
      <c r="K21" s="72"/>
      <c r="L21" s="72"/>
      <c r="M21" s="72"/>
      <c r="N21" s="72"/>
      <c r="O21" s="72"/>
      <c r="P21" s="72"/>
      <c r="Q21" s="74"/>
      <c r="R21" s="74"/>
      <c r="S21" s="72"/>
    </row>
    <row r="22" spans="1:19" ht="15.75" x14ac:dyDescent="0.25">
      <c r="A22" s="88" t="s">
        <v>105</v>
      </c>
      <c r="B22" s="88"/>
      <c r="C22" s="88"/>
      <c r="D22" s="88"/>
      <c r="E22" s="88"/>
      <c r="F22" s="88"/>
      <c r="G22" s="88"/>
      <c r="H22" s="88"/>
      <c r="I22" s="88"/>
      <c r="J22" s="88"/>
      <c r="K22" s="88"/>
      <c r="L22" s="88"/>
      <c r="M22" s="88"/>
      <c r="N22" s="88"/>
      <c r="O22" s="88"/>
      <c r="P22" s="88"/>
      <c r="Q22" s="88"/>
      <c r="R22" s="75"/>
      <c r="S22" s="76"/>
    </row>
    <row r="23" spans="1:19" ht="15.75" x14ac:dyDescent="0.25">
      <c r="A23" s="72"/>
      <c r="B23" s="72"/>
      <c r="C23" s="72"/>
      <c r="D23" s="72"/>
      <c r="E23" s="72"/>
      <c r="F23" s="72"/>
      <c r="G23" s="72"/>
      <c r="H23" s="72"/>
      <c r="I23" s="72"/>
      <c r="J23" s="72"/>
      <c r="K23" s="72"/>
      <c r="L23" s="72"/>
      <c r="M23" s="72"/>
      <c r="N23" s="72"/>
      <c r="O23" s="72"/>
      <c r="P23" s="72"/>
      <c r="Q23" s="72"/>
      <c r="R23" s="72"/>
      <c r="S23" s="73"/>
    </row>
    <row r="24" spans="1:19" ht="15.75" x14ac:dyDescent="0.25">
      <c r="A24" s="89" t="s">
        <v>101</v>
      </c>
      <c r="B24" s="89"/>
      <c r="C24" s="89"/>
      <c r="D24" s="89"/>
      <c r="E24" s="89"/>
      <c r="F24" s="89"/>
      <c r="G24" s="89"/>
      <c r="H24" s="89"/>
      <c r="I24" s="89"/>
      <c r="J24" s="89"/>
      <c r="K24" s="89"/>
      <c r="L24" s="89"/>
      <c r="M24" s="89"/>
      <c r="N24" s="89"/>
      <c r="O24" s="89"/>
      <c r="P24" s="89"/>
      <c r="Q24" s="89"/>
      <c r="R24" s="75"/>
      <c r="S24" s="76"/>
    </row>
    <row r="25" spans="1:19" ht="15.75" x14ac:dyDescent="0.25">
      <c r="A25" s="72"/>
      <c r="B25" s="72"/>
      <c r="C25" s="72"/>
      <c r="D25" s="72"/>
      <c r="E25" s="72"/>
      <c r="F25" s="72"/>
      <c r="G25" s="72"/>
      <c r="H25" s="72"/>
      <c r="I25" s="72"/>
      <c r="J25" s="72"/>
      <c r="K25" s="72"/>
      <c r="L25" s="72"/>
      <c r="M25" s="72"/>
      <c r="N25" s="72"/>
      <c r="O25" s="72"/>
      <c r="P25" s="72"/>
      <c r="Q25" s="72"/>
      <c r="R25" s="77"/>
      <c r="S25" s="77"/>
    </row>
    <row r="26" spans="1:19" ht="15.75" x14ac:dyDescent="0.25">
      <c r="A26" s="82" t="s">
        <v>94</v>
      </c>
      <c r="B26" s="82"/>
      <c r="C26" s="82"/>
      <c r="D26" s="82"/>
      <c r="E26" s="82"/>
      <c r="F26" s="82"/>
      <c r="G26" s="82"/>
      <c r="H26" s="82"/>
      <c r="I26" s="82"/>
      <c r="J26" s="82"/>
      <c r="K26" s="82"/>
      <c r="L26" s="82"/>
      <c r="M26" s="82"/>
      <c r="N26" s="82"/>
      <c r="O26" s="82"/>
      <c r="P26" s="82"/>
      <c r="Q26" s="82"/>
      <c r="R26" s="75"/>
      <c r="S26" s="76"/>
    </row>
  </sheetData>
  <mergeCells count="20">
    <mergeCell ref="A1:Q1"/>
    <mergeCell ref="A17:Q17"/>
    <mergeCell ref="A9:Q9"/>
    <mergeCell ref="A11:Q11"/>
    <mergeCell ref="A13:Q13"/>
    <mergeCell ref="A15:Q15"/>
    <mergeCell ref="A3:Q3"/>
    <mergeCell ref="A4:Q4"/>
    <mergeCell ref="A5:Q5"/>
    <mergeCell ref="A16:Q16"/>
    <mergeCell ref="A14:Q14"/>
    <mergeCell ref="A6:Q6"/>
    <mergeCell ref="A7:Q7"/>
    <mergeCell ref="A26:Q26"/>
    <mergeCell ref="A18:Q18"/>
    <mergeCell ref="A10:Q10"/>
    <mergeCell ref="A20:Q20"/>
    <mergeCell ref="A22:Q22"/>
    <mergeCell ref="A24:Q24"/>
    <mergeCell ref="A19:Q19"/>
  </mergeCells>
  <pageMargins left="0.7" right="0.7" top="0.75" bottom="0.75" header="0.3" footer="0.3"/>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22"/>
  <sheetViews>
    <sheetView topLeftCell="A2" workbookViewId="0">
      <selection activeCell="H6" sqref="H6"/>
    </sheetView>
  </sheetViews>
  <sheetFormatPr defaultRowHeight="15" x14ac:dyDescent="0.25"/>
  <cols>
    <col min="1" max="1" width="45.140625" bestFit="1" customWidth="1"/>
    <col min="2" max="2" width="14" bestFit="1" customWidth="1"/>
    <col min="4" max="4" width="14.140625" customWidth="1"/>
    <col min="5" max="5" width="15" customWidth="1"/>
    <col min="6" max="6" width="16.85546875" customWidth="1"/>
    <col min="7" max="7" width="5.28515625" customWidth="1"/>
    <col min="8" max="8" width="27.85546875" customWidth="1"/>
    <col min="9" max="9" width="18.7109375" bestFit="1" customWidth="1"/>
  </cols>
  <sheetData>
    <row r="1" spans="1:12" ht="18.75" x14ac:dyDescent="0.3">
      <c r="A1" s="100" t="s">
        <v>53</v>
      </c>
      <c r="B1" s="100"/>
      <c r="C1" s="100"/>
      <c r="D1" s="100"/>
      <c r="E1" s="100"/>
      <c r="F1" s="100"/>
    </row>
    <row r="2" spans="1:12" x14ac:dyDescent="0.25">
      <c r="A2" s="2"/>
    </row>
    <row r="3" spans="1:12" ht="19.5" thickBot="1" x14ac:dyDescent="0.35">
      <c r="A3" s="52" t="s">
        <v>16</v>
      </c>
      <c r="B3" s="22" t="s">
        <v>49</v>
      </c>
      <c r="C3" s="20"/>
      <c r="D3" s="40" t="s">
        <v>37</v>
      </c>
      <c r="E3" s="41" t="s">
        <v>42</v>
      </c>
      <c r="F3" s="41" t="s">
        <v>38</v>
      </c>
      <c r="H3" s="44" t="s">
        <v>95</v>
      </c>
      <c r="I3" s="49"/>
    </row>
    <row r="4" spans="1:12" x14ac:dyDescent="0.25">
      <c r="A4" s="2" t="s">
        <v>0</v>
      </c>
      <c r="B4" s="3">
        <f>GITS!B14</f>
        <v>2200000.2999999998</v>
      </c>
      <c r="D4" s="2"/>
      <c r="E4" s="3">
        <f>GITS!E14</f>
        <v>1100000.1499999999</v>
      </c>
      <c r="F4" s="3">
        <f>GITS!F14</f>
        <v>1100000.1499999999</v>
      </c>
      <c r="H4" s="45">
        <f>GITS!H11</f>
        <v>2707334</v>
      </c>
      <c r="I4" s="49"/>
    </row>
    <row r="5" spans="1:12" x14ac:dyDescent="0.25">
      <c r="A5" s="2" t="s">
        <v>3</v>
      </c>
      <c r="B5" s="3">
        <f>webSESAM!B12</f>
        <v>2190344</v>
      </c>
      <c r="C5" s="1"/>
      <c r="D5" s="3"/>
      <c r="E5" s="3">
        <f>webSESAM!E12</f>
        <v>1039961.6799999999</v>
      </c>
      <c r="F5" s="3">
        <f>webSESAM!F12</f>
        <v>1150382.32</v>
      </c>
      <c r="G5" s="1"/>
      <c r="H5" s="45">
        <f>webSESAM!H12</f>
        <v>1930183</v>
      </c>
      <c r="I5" s="48"/>
      <c r="J5" s="1"/>
      <c r="K5" s="1"/>
      <c r="L5" s="1"/>
    </row>
    <row r="6" spans="1:12" x14ac:dyDescent="0.25">
      <c r="A6" s="2" t="s">
        <v>8</v>
      </c>
      <c r="B6" s="3">
        <f>SVPL!B13</f>
        <v>5344493</v>
      </c>
      <c r="C6" s="1"/>
      <c r="D6" s="3">
        <f>SVPL!D13</f>
        <v>1603347.9</v>
      </c>
      <c r="E6" s="3"/>
      <c r="F6" s="3">
        <f>SVPL!F13</f>
        <v>3741145.0999999996</v>
      </c>
      <c r="G6" s="1"/>
      <c r="H6" s="45">
        <f>SVPL!H13</f>
        <v>6805509</v>
      </c>
      <c r="I6" s="48"/>
      <c r="J6" s="1"/>
      <c r="K6" s="1"/>
      <c r="L6" s="1"/>
    </row>
    <row r="7" spans="1:12" x14ac:dyDescent="0.25">
      <c r="B7" s="1"/>
      <c r="C7" s="1"/>
      <c r="D7" s="3"/>
      <c r="E7" s="3"/>
      <c r="F7" s="3"/>
      <c r="G7" s="1"/>
      <c r="H7" s="45"/>
      <c r="I7" s="48"/>
      <c r="J7" s="1"/>
      <c r="K7" s="1"/>
      <c r="L7" s="1"/>
    </row>
    <row r="8" spans="1:12" ht="15.75" thickBot="1" x14ac:dyDescent="0.3">
      <c r="A8" s="42" t="s">
        <v>73</v>
      </c>
      <c r="B8" s="43">
        <f>SUM(B4:B7)</f>
        <v>9734837.3000000007</v>
      </c>
      <c r="C8" s="21"/>
      <c r="D8" s="43">
        <f>SUM(D6:D7)</f>
        <v>1603347.9</v>
      </c>
      <c r="E8" s="43">
        <f>SUM(E4:E7)</f>
        <v>2139961.83</v>
      </c>
      <c r="F8" s="43">
        <f>SUM(F4:F7)</f>
        <v>5991527.5699999994</v>
      </c>
      <c r="G8" s="1"/>
      <c r="H8" s="46">
        <f>SUM(H4:H7)</f>
        <v>11443026</v>
      </c>
      <c r="I8" s="48"/>
      <c r="J8" s="1"/>
      <c r="K8" s="1"/>
      <c r="L8" s="1"/>
    </row>
    <row r="9" spans="1:12" x14ac:dyDescent="0.25">
      <c r="B9" s="1"/>
      <c r="C9" s="1"/>
      <c r="D9" s="3"/>
      <c r="E9" s="3"/>
      <c r="F9" s="3"/>
      <c r="G9" s="1"/>
      <c r="H9" s="1"/>
      <c r="I9" s="1"/>
      <c r="J9" s="1"/>
      <c r="K9" s="1"/>
      <c r="L9" s="1"/>
    </row>
    <row r="10" spans="1:12" ht="19.5" thickBot="1" x14ac:dyDescent="0.35">
      <c r="A10" s="36" t="s">
        <v>17</v>
      </c>
      <c r="B10" s="21"/>
      <c r="C10" s="21"/>
      <c r="D10" s="23"/>
      <c r="E10" s="23"/>
      <c r="F10" s="23"/>
      <c r="G10" s="1"/>
      <c r="H10" s="1"/>
      <c r="I10" s="1"/>
      <c r="J10" s="1"/>
      <c r="K10" s="1"/>
      <c r="L10" s="1"/>
    </row>
    <row r="11" spans="1:12" x14ac:dyDescent="0.25">
      <c r="A11" s="2" t="s">
        <v>45</v>
      </c>
      <c r="B11" s="3">
        <f>'Införande ITMV'!B17</f>
        <v>3510292</v>
      </c>
      <c r="C11" s="1"/>
      <c r="D11" s="3"/>
      <c r="E11" s="3">
        <f>'Införande ITMV'!E17</f>
        <v>1436695.6</v>
      </c>
      <c r="F11" s="3">
        <f>'Införande ITMV'!F17</f>
        <v>2073596.4</v>
      </c>
      <c r="G11" s="1"/>
      <c r="H11" s="35"/>
      <c r="I11" s="1"/>
      <c r="J11" s="1"/>
      <c r="K11" s="1"/>
      <c r="L11" s="1"/>
    </row>
    <row r="12" spans="1:12" x14ac:dyDescent="0.25">
      <c r="B12" s="1"/>
      <c r="C12" s="1"/>
      <c r="D12" s="3"/>
      <c r="E12" s="3"/>
      <c r="F12" s="3"/>
      <c r="G12" s="1"/>
      <c r="H12" s="1"/>
      <c r="I12" s="1"/>
      <c r="J12" s="1"/>
      <c r="K12" s="1"/>
      <c r="L12" s="1"/>
    </row>
    <row r="13" spans="1:12" x14ac:dyDescent="0.25">
      <c r="B13" s="1"/>
      <c r="C13" s="1"/>
      <c r="D13" s="3"/>
      <c r="E13" s="3"/>
      <c r="F13" s="3"/>
      <c r="G13" s="1"/>
      <c r="H13" s="1"/>
      <c r="I13" s="1"/>
      <c r="J13" s="1"/>
      <c r="K13" s="1"/>
      <c r="L13" s="1"/>
    </row>
    <row r="14" spans="1:12" x14ac:dyDescent="0.25">
      <c r="B14" s="1"/>
      <c r="C14" s="1"/>
      <c r="D14" s="3"/>
      <c r="E14" s="3"/>
      <c r="F14" s="3"/>
      <c r="G14" s="1"/>
      <c r="H14" s="1"/>
      <c r="I14" s="1"/>
      <c r="J14" s="1"/>
      <c r="K14" s="1"/>
      <c r="L14" s="1"/>
    </row>
    <row r="15" spans="1:12" ht="19.5" thickBot="1" x14ac:dyDescent="0.35">
      <c r="A15" s="36" t="s">
        <v>18</v>
      </c>
      <c r="B15" s="21"/>
      <c r="C15" s="21"/>
      <c r="D15" s="23"/>
      <c r="E15" s="23"/>
      <c r="F15" s="23"/>
      <c r="G15" s="1"/>
      <c r="H15" s="1"/>
      <c r="I15" s="1"/>
      <c r="J15" s="1"/>
      <c r="K15" s="1"/>
      <c r="L15" s="1"/>
    </row>
    <row r="16" spans="1:12" x14ac:dyDescent="0.25">
      <c r="A16" s="2" t="s">
        <v>88</v>
      </c>
      <c r="B16" s="3">
        <f>Videomöte!C15</f>
        <v>658800</v>
      </c>
      <c r="C16" s="1"/>
      <c r="D16" s="3"/>
      <c r="E16" s="3">
        <f>Videomöte!D15</f>
        <v>293400</v>
      </c>
      <c r="F16" s="3">
        <f>Videomöte!E15</f>
        <v>365400</v>
      </c>
      <c r="G16" s="1"/>
      <c r="H16" s="1"/>
      <c r="I16" s="1"/>
      <c r="J16" s="1"/>
      <c r="K16" s="1"/>
      <c r="L16" s="1"/>
    </row>
    <row r="17" spans="1:12" x14ac:dyDescent="0.25">
      <c r="A17" s="2" t="s">
        <v>76</v>
      </c>
      <c r="B17" s="3">
        <f>'Utveckling KLARA'!B4</f>
        <v>300000</v>
      </c>
      <c r="C17" s="1"/>
      <c r="D17" s="3"/>
      <c r="E17" s="3">
        <f>'Utveckling KLARA'!E7</f>
        <v>90000</v>
      </c>
      <c r="F17" s="3">
        <f>'Utveckling KLARA'!F7</f>
        <v>210000</v>
      </c>
      <c r="G17" s="1"/>
      <c r="H17" s="1"/>
      <c r="I17" s="1"/>
      <c r="J17" s="1"/>
      <c r="K17" s="1"/>
      <c r="L17" s="1"/>
    </row>
    <row r="18" spans="1:12" x14ac:dyDescent="0.25">
      <c r="A18" s="2" t="s">
        <v>98</v>
      </c>
      <c r="B18" s="3">
        <f>SITHS!B8</f>
        <v>750000</v>
      </c>
      <c r="C18" s="1"/>
      <c r="D18" s="3"/>
      <c r="E18" s="3">
        <f>SITHS!E8</f>
        <v>287500</v>
      </c>
      <c r="F18" s="3">
        <f>SITHS!F8</f>
        <v>462500</v>
      </c>
      <c r="G18" s="1"/>
      <c r="H18" s="1"/>
      <c r="I18" s="1"/>
      <c r="J18" s="1"/>
      <c r="K18" s="1"/>
      <c r="L18" s="1"/>
    </row>
    <row r="19" spans="1:12" x14ac:dyDescent="0.25">
      <c r="B19" s="1"/>
      <c r="C19" s="1"/>
      <c r="D19" s="3"/>
      <c r="E19" s="3"/>
      <c r="F19" s="3"/>
      <c r="G19" s="1"/>
      <c r="H19" s="1"/>
      <c r="I19" s="1"/>
      <c r="J19" s="1"/>
      <c r="K19" s="1"/>
      <c r="L19" s="1"/>
    </row>
    <row r="20" spans="1:12" ht="19.5" thickBot="1" x14ac:dyDescent="0.35">
      <c r="A20" s="53" t="s">
        <v>66</v>
      </c>
      <c r="B20" s="54">
        <f>SUM(B8:B19)</f>
        <v>14953929.300000001</v>
      </c>
      <c r="C20" s="55"/>
      <c r="D20" s="54">
        <f>SUM(D8:D19)</f>
        <v>1603347.9</v>
      </c>
      <c r="E20" s="54">
        <f>SUM(E8:E19)</f>
        <v>4247557.43</v>
      </c>
      <c r="F20" s="54">
        <f>SUM(F8:F19)</f>
        <v>9103023.9699999988</v>
      </c>
      <c r="G20" s="1"/>
      <c r="H20" s="1"/>
      <c r="I20" s="1"/>
      <c r="J20" s="1"/>
      <c r="K20" s="1"/>
      <c r="L20" s="1"/>
    </row>
    <row r="21" spans="1:12" x14ac:dyDescent="0.25">
      <c r="A21" s="1"/>
      <c r="B21" s="38"/>
      <c r="C21" s="38"/>
      <c r="D21" s="38"/>
      <c r="E21" s="37"/>
      <c r="F21" s="1"/>
      <c r="G21" s="1"/>
      <c r="H21" s="1"/>
      <c r="I21" s="1"/>
      <c r="J21" s="1"/>
      <c r="K21" s="1"/>
      <c r="L21" s="1"/>
    </row>
    <row r="22" spans="1:12" ht="16.5" thickBot="1" x14ac:dyDescent="0.3">
      <c r="C22" s="99" t="s">
        <v>67</v>
      </c>
      <c r="D22" s="99"/>
      <c r="E22" s="71">
        <f>D20+E20</f>
        <v>5850905.3300000001</v>
      </c>
      <c r="H22" s="1"/>
    </row>
  </sheetData>
  <mergeCells count="2">
    <mergeCell ref="C22:D22"/>
    <mergeCell ref="A1:F1"/>
  </mergeCells>
  <pageMargins left="0.7" right="0.7" top="0.75" bottom="0.75" header="0.3" footer="0.3"/>
  <pageSetup paperSize="9" scale="88"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20"/>
  <sheetViews>
    <sheetView tabSelected="1" workbookViewId="0">
      <selection activeCell="L14" sqref="L14"/>
    </sheetView>
  </sheetViews>
  <sheetFormatPr defaultRowHeight="15" x14ac:dyDescent="0.25"/>
  <cols>
    <col min="1" max="1" width="35.28515625" bestFit="1" customWidth="1"/>
    <col min="3" max="3" width="4" customWidth="1"/>
    <col min="4" max="4" width="10.85546875" bestFit="1" customWidth="1"/>
    <col min="7" max="7" width="2.85546875" customWidth="1"/>
  </cols>
  <sheetData>
    <row r="1" spans="1:9" ht="15.75" x14ac:dyDescent="0.25">
      <c r="A1" s="101" t="s">
        <v>54</v>
      </c>
      <c r="B1" s="101"/>
      <c r="C1" s="101"/>
      <c r="D1" s="101"/>
      <c r="E1" s="101"/>
      <c r="F1" s="101"/>
    </row>
    <row r="2" spans="1:9" x14ac:dyDescent="0.25"/>
    <row r="3" spans="1:9" x14ac:dyDescent="0.25">
      <c r="A3" s="32" t="s">
        <v>48</v>
      </c>
      <c r="B3" s="29" t="s">
        <v>49</v>
      </c>
      <c r="C3" s="32"/>
      <c r="D3" s="32" t="s">
        <v>37</v>
      </c>
      <c r="E3" s="29" t="s">
        <v>42</v>
      </c>
      <c r="F3" s="29" t="s">
        <v>38</v>
      </c>
      <c r="H3" s="47" t="s">
        <v>50</v>
      </c>
    </row>
    <row r="4" spans="1:9" x14ac:dyDescent="0.25">
      <c r="A4" t="s">
        <v>96</v>
      </c>
      <c r="B4" s="1">
        <v>815000</v>
      </c>
      <c r="E4" s="26">
        <v>0.5</v>
      </c>
      <c r="F4" s="26">
        <v>0.5</v>
      </c>
      <c r="H4" s="48">
        <v>1150000</v>
      </c>
    </row>
    <row r="5" spans="1:9" x14ac:dyDescent="0.25">
      <c r="A5" t="s">
        <v>1</v>
      </c>
      <c r="B5" s="1">
        <v>630000</v>
      </c>
      <c r="E5" s="26">
        <v>0.5</v>
      </c>
      <c r="F5" s="26">
        <v>0.5</v>
      </c>
      <c r="H5" s="48">
        <v>1038334</v>
      </c>
      <c r="I5" s="49" t="s">
        <v>90</v>
      </c>
    </row>
    <row r="6" spans="1:9" x14ac:dyDescent="0.25">
      <c r="A6" t="s">
        <v>2</v>
      </c>
      <c r="B6" s="1">
        <v>331000</v>
      </c>
      <c r="E6" s="26">
        <v>0.5</v>
      </c>
      <c r="F6" s="26">
        <v>0.5</v>
      </c>
      <c r="H6" s="48">
        <f>1038000/2</f>
        <v>519000</v>
      </c>
      <c r="I6" s="49" t="s">
        <v>91</v>
      </c>
    </row>
    <row r="7" spans="1:9" x14ac:dyDescent="0.25">
      <c r="A7" t="s">
        <v>81</v>
      </c>
      <c r="B7" s="1">
        <f>41000*1.4413</f>
        <v>59093.3</v>
      </c>
      <c r="E7" s="26">
        <v>0.5</v>
      </c>
      <c r="F7" s="26">
        <v>0.5</v>
      </c>
      <c r="H7" s="48"/>
    </row>
    <row r="8" spans="1:9" x14ac:dyDescent="0.25">
      <c r="A8" t="s">
        <v>80</v>
      </c>
      <c r="B8" s="1">
        <v>100000</v>
      </c>
      <c r="E8" s="26">
        <v>0.5</v>
      </c>
      <c r="F8" s="26">
        <v>0.5</v>
      </c>
      <c r="H8" s="48"/>
    </row>
    <row r="9" spans="1:9" x14ac:dyDescent="0.25">
      <c r="A9" t="s">
        <v>83</v>
      </c>
      <c r="B9" s="1">
        <v>64907</v>
      </c>
      <c r="E9" s="26">
        <v>0.5</v>
      </c>
      <c r="F9" s="26">
        <v>0.5</v>
      </c>
      <c r="H9" s="48"/>
    </row>
    <row r="10" spans="1:9" x14ac:dyDescent="0.25">
      <c r="B10" s="1"/>
      <c r="H10" s="48"/>
    </row>
    <row r="11" spans="1:9" ht="15.75" thickBot="1" x14ac:dyDescent="0.3">
      <c r="A11" s="22" t="s">
        <v>4</v>
      </c>
      <c r="B11" s="23">
        <f>SUM(B4:B9)</f>
        <v>2000000.3</v>
      </c>
      <c r="C11" s="22"/>
      <c r="D11" s="22"/>
      <c r="E11" s="23">
        <f>B11/2</f>
        <v>1000000.15</v>
      </c>
      <c r="F11" s="23">
        <f>B11/2</f>
        <v>1000000.15</v>
      </c>
      <c r="H11" s="46">
        <f>SUM(H4:H8)</f>
        <v>2707334</v>
      </c>
    </row>
    <row r="13" spans="1:9" x14ac:dyDescent="0.25">
      <c r="A13" t="s">
        <v>82</v>
      </c>
      <c r="B13" s="1">
        <v>200000</v>
      </c>
      <c r="C13" s="1"/>
      <c r="E13" s="26">
        <v>0.5</v>
      </c>
      <c r="F13" s="26">
        <v>0.5</v>
      </c>
    </row>
    <row r="14" spans="1:9" ht="15.75" thickBot="1" x14ac:dyDescent="0.3">
      <c r="A14" s="22" t="s">
        <v>84</v>
      </c>
      <c r="B14" s="23">
        <f>SUM(B11:B13)</f>
        <v>2200000.2999999998</v>
      </c>
      <c r="C14" s="20"/>
      <c r="D14" s="20"/>
      <c r="E14" s="23">
        <f>E11+(B13/2)</f>
        <v>1100000.1499999999</v>
      </c>
      <c r="F14" s="23">
        <f>F11+(B13/2)</f>
        <v>1100000.1499999999</v>
      </c>
    </row>
    <row r="16" spans="1:9" x14ac:dyDescent="0.25">
      <c r="D16" s="1"/>
    </row>
    <row r="17" spans="2:4" x14ac:dyDescent="0.25">
      <c r="B17" s="1"/>
      <c r="C17" s="1"/>
      <c r="D17" s="1"/>
    </row>
    <row r="18" spans="2:4" x14ac:dyDescent="0.25">
      <c r="B18" s="1"/>
      <c r="C18" s="1"/>
      <c r="D18" s="1"/>
    </row>
    <row r="19" spans="2:4" x14ac:dyDescent="0.25">
      <c r="B19" s="1"/>
      <c r="C19" s="1"/>
      <c r="D19" s="1"/>
    </row>
    <row r="20" spans="2:4" x14ac:dyDescent="0.25">
      <c r="B20" s="1"/>
    </row>
  </sheetData>
  <mergeCells count="1">
    <mergeCell ref="A1:F1"/>
  </mergeCells>
  <pageMargins left="0.7" right="0.7" top="0.75" bottom="0.75" header="0.3" footer="0.3"/>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O26"/>
  <sheetViews>
    <sheetView workbookViewId="0">
      <selection activeCell="O16" sqref="O16"/>
    </sheetView>
  </sheetViews>
  <sheetFormatPr defaultRowHeight="15" x14ac:dyDescent="0.25"/>
  <cols>
    <col min="1" max="1" width="34.42578125" customWidth="1"/>
    <col min="3" max="3" width="4.5703125" customWidth="1"/>
    <col min="7" max="7" width="5.140625" customWidth="1"/>
    <col min="8" max="8" width="13.28515625" customWidth="1"/>
    <col min="9" max="9" width="13.5703125" customWidth="1"/>
    <col min="13" max="13" width="14.28515625" bestFit="1" customWidth="1"/>
    <col min="14" max="14" width="13.140625" bestFit="1" customWidth="1"/>
  </cols>
  <sheetData>
    <row r="1" spans="1:15" ht="15.75" x14ac:dyDescent="0.25">
      <c r="A1" s="102" t="s">
        <v>55</v>
      </c>
      <c r="B1" s="102"/>
      <c r="C1" s="102"/>
      <c r="D1" s="102"/>
      <c r="E1" s="102"/>
      <c r="F1" s="102"/>
    </row>
    <row r="3" spans="1:15" x14ac:dyDescent="0.25">
      <c r="A3" s="28" t="s">
        <v>48</v>
      </c>
      <c r="B3" s="29" t="s">
        <v>49</v>
      </c>
      <c r="C3" s="30"/>
      <c r="D3" s="29" t="s">
        <v>41</v>
      </c>
      <c r="E3" s="29" t="s">
        <v>42</v>
      </c>
      <c r="F3" s="29" t="s">
        <v>22</v>
      </c>
      <c r="H3" s="50" t="s">
        <v>56</v>
      </c>
      <c r="I3" s="60"/>
    </row>
    <row r="4" spans="1:15" x14ac:dyDescent="0.25">
      <c r="A4" t="s">
        <v>5</v>
      </c>
      <c r="B4" s="62">
        <v>90344</v>
      </c>
      <c r="C4" s="35"/>
      <c r="D4" s="27"/>
      <c r="E4" s="27"/>
      <c r="F4" s="27"/>
      <c r="G4" s="1"/>
      <c r="H4" s="48">
        <v>245484</v>
      </c>
      <c r="I4" s="61"/>
      <c r="L4" s="70"/>
      <c r="M4" s="70"/>
      <c r="N4" s="70"/>
      <c r="O4" s="70"/>
    </row>
    <row r="5" spans="1:15" x14ac:dyDescent="0.25">
      <c r="A5" t="s">
        <v>6</v>
      </c>
      <c r="B5" s="1">
        <v>1050000</v>
      </c>
      <c r="C5" s="35"/>
      <c r="D5" s="27"/>
      <c r="E5" s="27"/>
      <c r="F5" s="27"/>
      <c r="G5" s="1"/>
      <c r="H5" s="48">
        <v>1063084</v>
      </c>
      <c r="I5" s="56"/>
      <c r="M5" s="26"/>
      <c r="N5" s="1"/>
    </row>
    <row r="6" spans="1:15" x14ac:dyDescent="0.25">
      <c r="A6" s="58" t="s">
        <v>14</v>
      </c>
      <c r="B6" s="59">
        <f>SUM(B4:B5)</f>
        <v>1140344</v>
      </c>
      <c r="C6" s="1"/>
      <c r="E6" s="27" t="s">
        <v>46</v>
      </c>
      <c r="F6" s="27" t="s">
        <v>47</v>
      </c>
      <c r="G6" s="1"/>
      <c r="H6" s="57">
        <f>SUM(H4:H5)</f>
        <v>1308568</v>
      </c>
      <c r="M6" s="26"/>
      <c r="N6" s="1"/>
    </row>
    <row r="7" spans="1:15" x14ac:dyDescent="0.25">
      <c r="A7" s="5" t="s">
        <v>87</v>
      </c>
      <c r="B7" s="65">
        <v>300000</v>
      </c>
      <c r="C7" s="1"/>
      <c r="E7" s="27" t="s">
        <v>46</v>
      </c>
      <c r="F7" s="27" t="s">
        <v>85</v>
      </c>
      <c r="G7" s="1"/>
      <c r="H7" s="57"/>
      <c r="M7" s="26"/>
      <c r="N7" s="1"/>
    </row>
    <row r="8" spans="1:15" x14ac:dyDescent="0.25">
      <c r="A8" t="s">
        <v>9</v>
      </c>
      <c r="B8" s="1">
        <v>350000</v>
      </c>
      <c r="C8" s="1"/>
      <c r="D8" s="27"/>
      <c r="E8" s="27" t="s">
        <v>43</v>
      </c>
      <c r="F8" s="27" t="s">
        <v>43</v>
      </c>
      <c r="G8" s="1"/>
      <c r="H8" s="48">
        <v>240000</v>
      </c>
      <c r="I8" s="49" t="s">
        <v>92</v>
      </c>
      <c r="M8" s="26"/>
      <c r="N8" s="1"/>
    </row>
    <row r="9" spans="1:15" x14ac:dyDescent="0.25">
      <c r="A9" t="s">
        <v>7</v>
      </c>
      <c r="B9" s="1">
        <v>400000</v>
      </c>
      <c r="C9" s="1"/>
      <c r="D9" s="27"/>
      <c r="E9" s="27" t="s">
        <v>46</v>
      </c>
      <c r="F9" s="27" t="s">
        <v>47</v>
      </c>
      <c r="G9" s="1"/>
      <c r="H9" s="48">
        <v>381615</v>
      </c>
      <c r="M9" s="26"/>
      <c r="N9" s="1"/>
    </row>
    <row r="10" spans="1:15" x14ac:dyDescent="0.25">
      <c r="B10" s="1"/>
      <c r="C10" s="1"/>
      <c r="D10" s="27"/>
      <c r="E10" s="27"/>
      <c r="F10" s="27"/>
      <c r="G10" s="1"/>
      <c r="H10" s="48"/>
      <c r="N10" s="1"/>
    </row>
    <row r="11" spans="1:15" x14ac:dyDescent="0.25">
      <c r="B11" s="1"/>
      <c r="C11" s="1"/>
      <c r="D11" s="27"/>
      <c r="E11" s="27"/>
      <c r="F11" s="27"/>
      <c r="G11" s="1"/>
      <c r="H11" s="48"/>
      <c r="N11" s="1"/>
    </row>
    <row r="12" spans="1:15" ht="15.75" thickBot="1" x14ac:dyDescent="0.3">
      <c r="A12" s="22" t="s">
        <v>75</v>
      </c>
      <c r="B12" s="23">
        <f>SUM(B6:B11)</f>
        <v>2190344</v>
      </c>
      <c r="C12" s="21"/>
      <c r="D12" s="21"/>
      <c r="E12" s="23">
        <f>(B8/2) + (B6*47%)+(B9*47%)+(B7*47%)</f>
        <v>1039961.6799999999</v>
      </c>
      <c r="F12" s="23">
        <f>(B6*53%)+(B8/2)+(B9*53%)+(B7*53%)</f>
        <v>1150382.32</v>
      </c>
      <c r="G12" s="1"/>
      <c r="H12" s="46">
        <f>SUM(H6:H11)</f>
        <v>1930183</v>
      </c>
      <c r="N12" s="69"/>
    </row>
    <row r="13" spans="1:15" x14ac:dyDescent="0.25">
      <c r="B13" s="1"/>
      <c r="C13" s="1"/>
      <c r="D13" s="1"/>
      <c r="E13" s="1"/>
      <c r="F13" s="1"/>
      <c r="G13" s="1"/>
      <c r="N13" s="3"/>
    </row>
    <row r="14" spans="1:15" x14ac:dyDescent="0.25">
      <c r="B14" s="1"/>
      <c r="C14" s="1"/>
      <c r="D14" s="1"/>
      <c r="E14" s="1"/>
      <c r="F14" s="1"/>
      <c r="G14" s="1"/>
      <c r="N14" s="63"/>
    </row>
    <row r="15" spans="1:15" x14ac:dyDescent="0.25">
      <c r="B15" s="1"/>
      <c r="C15" s="1"/>
      <c r="D15" s="1"/>
      <c r="E15" s="1"/>
      <c r="F15" s="1"/>
      <c r="G15" s="1"/>
    </row>
    <row r="16" spans="1:15" x14ac:dyDescent="0.25">
      <c r="B16" s="1"/>
      <c r="C16" s="64"/>
      <c r="D16" s="1"/>
      <c r="E16" s="1"/>
      <c r="F16" s="1"/>
      <c r="G16" s="1"/>
    </row>
    <row r="17" spans="2:14" x14ac:dyDescent="0.25">
      <c r="B17" s="1"/>
      <c r="C17" s="64"/>
      <c r="D17" s="1"/>
      <c r="E17" s="1"/>
      <c r="F17" s="1"/>
      <c r="G17" s="1"/>
      <c r="J17" s="1"/>
      <c r="N17" s="1"/>
    </row>
    <row r="18" spans="2:14" x14ac:dyDescent="0.25">
      <c r="B18" s="1"/>
      <c r="C18" s="1"/>
      <c r="D18" s="1"/>
      <c r="E18" s="1"/>
      <c r="F18" s="1"/>
      <c r="G18" s="1"/>
    </row>
    <row r="19" spans="2:14" x14ac:dyDescent="0.25">
      <c r="B19" s="1"/>
      <c r="C19" s="1"/>
      <c r="D19" s="1"/>
      <c r="E19" s="1"/>
      <c r="F19" s="1"/>
      <c r="G19" s="1"/>
    </row>
    <row r="20" spans="2:14" x14ac:dyDescent="0.25">
      <c r="B20" s="1"/>
      <c r="C20" s="1"/>
      <c r="D20" s="1"/>
      <c r="E20" s="1"/>
      <c r="F20" s="1"/>
      <c r="G20" s="1"/>
    </row>
    <row r="21" spans="2:14" x14ac:dyDescent="0.25">
      <c r="B21" s="1"/>
      <c r="C21" s="1"/>
      <c r="D21" s="1"/>
      <c r="E21" s="1"/>
      <c r="F21" s="1"/>
      <c r="G21" s="1"/>
    </row>
    <row r="22" spans="2:14" x14ac:dyDescent="0.25">
      <c r="B22" s="1"/>
      <c r="C22" s="1"/>
      <c r="D22" s="1"/>
      <c r="E22" s="1"/>
      <c r="F22" s="1"/>
      <c r="G22" s="1"/>
    </row>
    <row r="23" spans="2:14" x14ac:dyDescent="0.25">
      <c r="B23" s="1"/>
      <c r="C23" s="1"/>
      <c r="D23" s="1"/>
      <c r="E23" s="1"/>
      <c r="F23" s="1"/>
      <c r="G23" s="1"/>
    </row>
    <row r="24" spans="2:14" x14ac:dyDescent="0.25">
      <c r="B24" s="1"/>
      <c r="C24" s="1"/>
      <c r="D24" s="1"/>
      <c r="E24" s="1"/>
      <c r="F24" s="1"/>
      <c r="G24" s="1"/>
    </row>
    <row r="25" spans="2:14" x14ac:dyDescent="0.25">
      <c r="B25" s="1"/>
      <c r="C25" s="1"/>
      <c r="D25" s="1"/>
      <c r="E25" s="1"/>
      <c r="F25" s="1"/>
      <c r="G25" s="1"/>
    </row>
    <row r="26" spans="2:14" x14ac:dyDescent="0.25">
      <c r="B26" s="1"/>
      <c r="C26" s="1"/>
      <c r="D26" s="1"/>
      <c r="E26" s="1"/>
      <c r="F26" s="1"/>
      <c r="G26" s="1"/>
    </row>
  </sheetData>
  <mergeCells count="1">
    <mergeCell ref="A1:F1"/>
  </mergeCells>
  <pageMargins left="0.7" right="0.7"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
  <sheetViews>
    <sheetView workbookViewId="0">
      <selection activeCell="H13" sqref="H13"/>
    </sheetView>
  </sheetViews>
  <sheetFormatPr defaultRowHeight="15" x14ac:dyDescent="0.25"/>
  <cols>
    <col min="1" max="1" width="36.28515625" bestFit="1" customWidth="1"/>
    <col min="3" max="3" width="11.5703125" bestFit="1" customWidth="1"/>
    <col min="4" max="4" width="10.85546875" bestFit="1" customWidth="1"/>
    <col min="6" max="6" width="9.42578125" bestFit="1" customWidth="1"/>
    <col min="8" max="8" width="11.42578125" customWidth="1"/>
    <col min="9" max="9" width="13.85546875" customWidth="1"/>
  </cols>
  <sheetData>
    <row r="1" spans="1:10" ht="15.75" x14ac:dyDescent="0.25">
      <c r="A1" s="103" t="s">
        <v>52</v>
      </c>
      <c r="B1" s="103"/>
      <c r="C1" s="103"/>
      <c r="D1" s="103"/>
      <c r="E1" s="103"/>
      <c r="F1" s="103"/>
    </row>
    <row r="3" spans="1:10" x14ac:dyDescent="0.25">
      <c r="A3" s="32" t="s">
        <v>48</v>
      </c>
      <c r="B3" s="29" t="s">
        <v>49</v>
      </c>
      <c r="C3" s="32"/>
      <c r="D3" s="32" t="s">
        <v>37</v>
      </c>
      <c r="E3" s="29" t="s">
        <v>42</v>
      </c>
      <c r="F3" s="29" t="s">
        <v>38</v>
      </c>
      <c r="H3" s="51" t="s">
        <v>51</v>
      </c>
      <c r="I3" s="66"/>
      <c r="J3" s="67"/>
    </row>
    <row r="4" spans="1:10" x14ac:dyDescent="0.25">
      <c r="A4" t="s">
        <v>5</v>
      </c>
      <c r="B4" s="1">
        <v>261651</v>
      </c>
      <c r="C4" s="1"/>
      <c r="D4" s="27"/>
      <c r="F4" s="27"/>
      <c r="H4" s="49"/>
      <c r="I4" s="49"/>
    </row>
    <row r="5" spans="1:10" x14ac:dyDescent="0.25">
      <c r="A5" t="s">
        <v>10</v>
      </c>
      <c r="B5" s="1">
        <v>58609</v>
      </c>
      <c r="C5" s="1"/>
      <c r="D5" s="27"/>
      <c r="F5" s="27"/>
      <c r="H5" s="49"/>
      <c r="I5" s="49"/>
    </row>
    <row r="6" spans="1:10" x14ac:dyDescent="0.25">
      <c r="A6" t="s">
        <v>11</v>
      </c>
      <c r="B6" s="1">
        <v>380826</v>
      </c>
      <c r="C6" s="1"/>
      <c r="D6" s="27"/>
      <c r="F6" s="27"/>
      <c r="H6" s="49"/>
      <c r="I6" s="49"/>
    </row>
    <row r="7" spans="1:10" x14ac:dyDescent="0.25">
      <c r="A7" t="s">
        <v>12</v>
      </c>
      <c r="B7" s="1">
        <v>4343407</v>
      </c>
      <c r="C7" s="1"/>
      <c r="D7" s="27"/>
      <c r="F7" s="27"/>
      <c r="H7" s="49"/>
      <c r="I7" s="48"/>
    </row>
    <row r="8" spans="1:10" x14ac:dyDescent="0.25">
      <c r="A8" s="58" t="s">
        <v>14</v>
      </c>
      <c r="B8" s="3">
        <f>SUM(B4:B7)</f>
        <v>5044493</v>
      </c>
      <c r="C8" s="1"/>
      <c r="D8" s="27" t="s">
        <v>39</v>
      </c>
      <c r="F8" s="27" t="s">
        <v>40</v>
      </c>
      <c r="H8" s="48">
        <v>6805509</v>
      </c>
      <c r="I8" s="48"/>
    </row>
    <row r="9" spans="1:10" x14ac:dyDescent="0.25">
      <c r="A9" t="s">
        <v>13</v>
      </c>
      <c r="B9" s="1"/>
      <c r="C9" s="1"/>
      <c r="D9" s="27"/>
      <c r="E9" s="27"/>
      <c r="H9" s="48"/>
      <c r="I9" s="48"/>
    </row>
    <row r="10" spans="1:10" x14ac:dyDescent="0.25">
      <c r="A10" t="s">
        <v>7</v>
      </c>
      <c r="B10" s="1"/>
      <c r="C10" s="1"/>
      <c r="D10" s="27"/>
      <c r="E10" s="27"/>
      <c r="H10" s="48"/>
      <c r="I10" s="48"/>
    </row>
    <row r="11" spans="1:10" x14ac:dyDescent="0.25">
      <c r="A11" t="s">
        <v>86</v>
      </c>
      <c r="B11" s="1">
        <v>300000</v>
      </c>
      <c r="C11" s="1"/>
      <c r="D11" s="27" t="s">
        <v>89</v>
      </c>
      <c r="E11" s="27"/>
      <c r="F11" s="26">
        <v>0.7</v>
      </c>
      <c r="H11" s="48"/>
      <c r="I11" s="48"/>
    </row>
    <row r="12" spans="1:10" x14ac:dyDescent="0.25">
      <c r="B12" s="1"/>
      <c r="C12" s="1"/>
      <c r="D12" s="27"/>
      <c r="E12" s="27"/>
      <c r="H12" s="48"/>
      <c r="I12" s="48"/>
    </row>
    <row r="13" spans="1:10" ht="15.75" thickBot="1" x14ac:dyDescent="0.3">
      <c r="A13" s="22" t="s">
        <v>15</v>
      </c>
      <c r="B13" s="23">
        <f>SUM(B8:B12)</f>
        <v>5344493</v>
      </c>
      <c r="C13" s="21"/>
      <c r="D13" s="43">
        <f>(B13*30%)</f>
        <v>1603347.9</v>
      </c>
      <c r="E13" s="43"/>
      <c r="F13" s="43">
        <f>(B13*70%)</f>
        <v>3741145.0999999996</v>
      </c>
      <c r="H13" s="46">
        <f>SUM(H8:H12)</f>
        <v>6805509</v>
      </c>
      <c r="I13" s="68"/>
    </row>
    <row r="14" spans="1:10" x14ac:dyDescent="0.25">
      <c r="B14" s="1"/>
      <c r="C14" s="1"/>
      <c r="D14" s="1"/>
      <c r="E14" s="1"/>
    </row>
    <row r="15" spans="1:10" x14ac:dyDescent="0.25">
      <c r="B15" s="1"/>
      <c r="C15" s="1"/>
      <c r="D15" s="1"/>
      <c r="E15" s="1"/>
      <c r="H15" s="1"/>
    </row>
    <row r="16" spans="1:10" x14ac:dyDescent="0.25">
      <c r="B16" s="1"/>
      <c r="C16" s="1"/>
      <c r="D16" s="1"/>
      <c r="E16" s="1"/>
    </row>
    <row r="17" spans="2:5" x14ac:dyDescent="0.25">
      <c r="B17" s="1"/>
      <c r="C17" s="1"/>
      <c r="D17" s="1"/>
      <c r="E17" s="1"/>
    </row>
    <row r="18" spans="2:5" x14ac:dyDescent="0.25">
      <c r="B18" s="1"/>
      <c r="C18" s="1"/>
      <c r="D18" s="1"/>
      <c r="E18" s="1"/>
    </row>
    <row r="19" spans="2:5" x14ac:dyDescent="0.25">
      <c r="B19" s="1"/>
      <c r="C19" s="1"/>
      <c r="D19" s="1"/>
      <c r="E19" s="1"/>
    </row>
    <row r="20" spans="2:5" x14ac:dyDescent="0.25">
      <c r="B20" s="1"/>
      <c r="C20" s="1"/>
      <c r="D20" s="1"/>
      <c r="E20" s="1"/>
    </row>
    <row r="21" spans="2:5" x14ac:dyDescent="0.25">
      <c r="B21" s="1"/>
      <c r="C21" s="1"/>
      <c r="D21" s="1"/>
      <c r="E21" s="1"/>
    </row>
  </sheetData>
  <mergeCells count="1">
    <mergeCell ref="A1:F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I20"/>
  <sheetViews>
    <sheetView workbookViewId="0">
      <selection sqref="A1:F1"/>
    </sheetView>
  </sheetViews>
  <sheetFormatPr defaultRowHeight="15" x14ac:dyDescent="0.25"/>
  <cols>
    <col min="1" max="1" width="59.85546875" bestFit="1" customWidth="1"/>
    <col min="2" max="2" width="8.85546875" bestFit="1" customWidth="1"/>
    <col min="3" max="3" width="6.42578125" customWidth="1"/>
    <col min="4" max="4" width="9.42578125" customWidth="1"/>
    <col min="5" max="5" width="9" bestFit="1" customWidth="1"/>
    <col min="6" max="6" width="8.85546875" bestFit="1" customWidth="1"/>
    <col min="8" max="8" width="12.28515625" bestFit="1" customWidth="1"/>
  </cols>
  <sheetData>
    <row r="1" spans="1:9" ht="15.75" x14ac:dyDescent="0.25">
      <c r="A1" s="104" t="s">
        <v>60</v>
      </c>
      <c r="B1" s="104"/>
      <c r="C1" s="104"/>
      <c r="D1" s="104"/>
      <c r="E1" s="104"/>
      <c r="F1" s="104"/>
    </row>
    <row r="3" spans="1:9" x14ac:dyDescent="0.25">
      <c r="A3" s="32" t="s">
        <v>48</v>
      </c>
      <c r="B3" s="29" t="s">
        <v>49</v>
      </c>
      <c r="C3" s="32"/>
      <c r="D3" s="32" t="s">
        <v>37</v>
      </c>
      <c r="E3" s="29" t="s">
        <v>42</v>
      </c>
      <c r="F3" s="29" t="s">
        <v>38</v>
      </c>
      <c r="H3" s="2"/>
      <c r="I3" s="2"/>
    </row>
    <row r="4" spans="1:9" x14ac:dyDescent="0.25">
      <c r="A4" t="s">
        <v>68</v>
      </c>
      <c r="B4" s="1">
        <f>(42*2)*900</f>
        <v>75600</v>
      </c>
      <c r="C4" s="1"/>
      <c r="D4" s="27"/>
      <c r="E4" s="26">
        <v>0.3</v>
      </c>
      <c r="F4" s="26">
        <v>0.7</v>
      </c>
    </row>
    <row r="5" spans="1:9" x14ac:dyDescent="0.25">
      <c r="A5" t="s">
        <v>62</v>
      </c>
      <c r="B5" s="1">
        <v>5000</v>
      </c>
      <c r="C5" s="1"/>
      <c r="D5" s="27"/>
      <c r="E5" s="26">
        <v>0.3</v>
      </c>
      <c r="F5" s="26">
        <v>0.7</v>
      </c>
    </row>
    <row r="6" spans="1:9" x14ac:dyDescent="0.25">
      <c r="A6" t="s">
        <v>69</v>
      </c>
      <c r="B6" s="1">
        <f>75*550</f>
        <v>41250</v>
      </c>
      <c r="C6" s="1"/>
      <c r="D6" s="27"/>
      <c r="E6" s="26">
        <v>0.3</v>
      </c>
      <c r="F6" s="26">
        <v>0.7</v>
      </c>
    </row>
    <row r="7" spans="1:9" x14ac:dyDescent="0.25">
      <c r="A7" t="s">
        <v>78</v>
      </c>
      <c r="B7" s="1">
        <f>84*2*850</f>
        <v>142800</v>
      </c>
      <c r="C7" s="1"/>
      <c r="D7" s="27"/>
      <c r="E7" s="26">
        <v>0.5</v>
      </c>
      <c r="F7" s="26">
        <v>0.5</v>
      </c>
      <c r="H7" s="1"/>
    </row>
    <row r="8" spans="1:9" x14ac:dyDescent="0.25">
      <c r="A8" t="s">
        <v>77</v>
      </c>
      <c r="B8" s="1">
        <f>134.4*9*900</f>
        <v>1088640.0000000002</v>
      </c>
      <c r="C8" s="1"/>
      <c r="D8" s="27"/>
      <c r="E8" s="26">
        <v>0.5</v>
      </c>
      <c r="F8" s="27" t="s">
        <v>65</v>
      </c>
    </row>
    <row r="9" spans="1:9" x14ac:dyDescent="0.25">
      <c r="A9" s="5" t="s">
        <v>79</v>
      </c>
      <c r="B9" s="39">
        <f>84*9*850</f>
        <v>642600</v>
      </c>
      <c r="C9" s="1"/>
      <c r="D9" s="27"/>
      <c r="E9" s="26">
        <v>0.5</v>
      </c>
      <c r="F9" s="27" t="s">
        <v>65</v>
      </c>
    </row>
    <row r="10" spans="1:9" x14ac:dyDescent="0.25">
      <c r="A10" t="s">
        <v>63</v>
      </c>
      <c r="B10" s="1">
        <v>44000</v>
      </c>
      <c r="C10" s="1"/>
      <c r="D10" s="27"/>
      <c r="E10" s="27" t="s">
        <v>65</v>
      </c>
      <c r="F10" s="26">
        <v>0.5</v>
      </c>
    </row>
    <row r="11" spans="1:9" x14ac:dyDescent="0.25">
      <c r="A11" t="s">
        <v>64</v>
      </c>
      <c r="B11" s="1">
        <v>64000</v>
      </c>
      <c r="C11" s="1"/>
      <c r="D11" s="27"/>
      <c r="E11" s="26">
        <v>0.3</v>
      </c>
      <c r="F11" s="26">
        <v>0.7</v>
      </c>
    </row>
    <row r="12" spans="1:9" x14ac:dyDescent="0.25">
      <c r="A12" t="s">
        <v>70</v>
      </c>
      <c r="B12" s="1">
        <v>302400</v>
      </c>
      <c r="C12" s="1"/>
      <c r="D12" s="27"/>
      <c r="E12" s="26">
        <v>0.3</v>
      </c>
      <c r="F12" s="26">
        <v>0.7</v>
      </c>
    </row>
    <row r="13" spans="1:9" x14ac:dyDescent="0.25">
      <c r="A13" t="s">
        <v>71</v>
      </c>
      <c r="B13" s="1">
        <v>198000</v>
      </c>
      <c r="C13" s="1"/>
      <c r="D13" s="27"/>
      <c r="E13" s="26">
        <v>0.3</v>
      </c>
      <c r="F13" s="26">
        <v>0.7</v>
      </c>
    </row>
    <row r="14" spans="1:9" x14ac:dyDescent="0.25">
      <c r="A14" t="s">
        <v>74</v>
      </c>
      <c r="B14" s="1">
        <v>156002</v>
      </c>
      <c r="C14" s="1"/>
      <c r="D14" s="27"/>
      <c r="E14" s="26">
        <v>0.3</v>
      </c>
      <c r="F14" s="26">
        <v>0.7</v>
      </c>
    </row>
    <row r="15" spans="1:9" x14ac:dyDescent="0.25">
      <c r="A15" t="s">
        <v>72</v>
      </c>
      <c r="B15" s="1">
        <v>750000</v>
      </c>
      <c r="E15" s="26">
        <v>0.3</v>
      </c>
      <c r="F15" s="26">
        <v>0.7</v>
      </c>
    </row>
    <row r="16" spans="1:9" x14ac:dyDescent="0.25">
      <c r="B16" s="1"/>
    </row>
    <row r="17" spans="1:9" ht="15.75" thickBot="1" x14ac:dyDescent="0.3">
      <c r="A17" s="22" t="s">
        <v>59</v>
      </c>
      <c r="B17" s="23">
        <f>SUM(B4:B16)</f>
        <v>3510292</v>
      </c>
      <c r="E17" s="23">
        <f>(B4*E4)+(B5*E5)+(B6*E6)+(B7*E7)+(B8*E8)+(B9*E9)+(B10*E10)+(B11*E11)+(B12*E12)+(B13*E13)+(B14*E14)+(B15*E15)</f>
        <v>1436695.6</v>
      </c>
      <c r="F17" s="23">
        <f>(B4*F4)+(B5*F5)+(B6*F6)+(B7*E7)+(B8*F8)+(B9*F9)+(B10*F10)+(B11*F11)+(B12*F12)+(B13*F13)+(B14*F14)+(B15*F15)</f>
        <v>2073596.4</v>
      </c>
      <c r="I17" s="1"/>
    </row>
    <row r="18" spans="1:9" x14ac:dyDescent="0.25">
      <c r="A18" s="4" t="s">
        <v>61</v>
      </c>
      <c r="B18" s="1"/>
    </row>
    <row r="19" spans="1:9" x14ac:dyDescent="0.25">
      <c r="B19" s="1"/>
      <c r="H19" s="37"/>
      <c r="I19" s="37"/>
    </row>
    <row r="20" spans="1:9" x14ac:dyDescent="0.25">
      <c r="D20" s="67"/>
      <c r="E20" s="67"/>
      <c r="F20" s="37"/>
    </row>
  </sheetData>
  <mergeCells count="1">
    <mergeCell ref="A1:F1"/>
  </mergeCells>
  <pageMargins left="0.7" right="0.7" top="0.75" bottom="0.75" header="0.3" footer="0.3"/>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F15"/>
  <sheetViews>
    <sheetView workbookViewId="0">
      <selection activeCell="H6" sqref="H6"/>
    </sheetView>
  </sheetViews>
  <sheetFormatPr defaultRowHeight="15" x14ac:dyDescent="0.25"/>
  <cols>
    <col min="1" max="1" width="34.5703125" bestFit="1" customWidth="1"/>
    <col min="2" max="2" width="25.28515625" bestFit="1" customWidth="1"/>
    <col min="3" max="3" width="7.5703125" bestFit="1" customWidth="1"/>
    <col min="4" max="4" width="7.42578125" bestFit="1" customWidth="1"/>
    <col min="5" max="5" width="7.5703125" bestFit="1" customWidth="1"/>
    <col min="6" max="6" width="5" bestFit="1" customWidth="1"/>
  </cols>
  <sheetData>
    <row r="1" spans="1:6" ht="15.75" x14ac:dyDescent="0.25">
      <c r="A1" s="105" t="s">
        <v>57</v>
      </c>
      <c r="B1" s="105"/>
      <c r="C1" s="105"/>
      <c r="D1" s="105"/>
      <c r="E1" s="105"/>
      <c r="F1" s="105"/>
    </row>
    <row r="3" spans="1:6" x14ac:dyDescent="0.25">
      <c r="A3" s="6" t="s">
        <v>32</v>
      </c>
      <c r="B3" s="6" t="s">
        <v>19</v>
      </c>
      <c r="C3" s="6" t="s">
        <v>20</v>
      </c>
      <c r="D3" s="6" t="s">
        <v>21</v>
      </c>
      <c r="E3" s="6" t="s">
        <v>22</v>
      </c>
      <c r="F3" s="6" t="s">
        <v>23</v>
      </c>
    </row>
    <row r="4" spans="1:6" x14ac:dyDescent="0.25">
      <c r="A4" s="7" t="s">
        <v>24</v>
      </c>
      <c r="B4" s="8" t="s">
        <v>25</v>
      </c>
      <c r="C4" s="9">
        <f>1092*475</f>
        <v>518700</v>
      </c>
      <c r="D4" s="10">
        <f>C4/2</f>
        <v>259350</v>
      </c>
      <c r="E4" s="9">
        <f>C4/2</f>
        <v>259350</v>
      </c>
      <c r="F4" s="11" t="s">
        <v>26</v>
      </c>
    </row>
    <row r="5" spans="1:6" x14ac:dyDescent="0.25">
      <c r="A5" s="12" t="s">
        <v>27</v>
      </c>
      <c r="B5" s="8"/>
      <c r="C5" s="9">
        <f>200*750</f>
        <v>150000</v>
      </c>
      <c r="D5" s="10">
        <f>C5*0.3</f>
        <v>45000</v>
      </c>
      <c r="E5" s="9">
        <f>C5-D5</f>
        <v>105000</v>
      </c>
      <c r="F5" s="11" t="s">
        <v>28</v>
      </c>
    </row>
    <row r="6" spans="1:6" x14ac:dyDescent="0.25">
      <c r="A6" s="7" t="s">
        <v>29</v>
      </c>
      <c r="B6" s="8" t="s">
        <v>30</v>
      </c>
      <c r="C6" s="9">
        <f>15*2000</f>
        <v>30000</v>
      </c>
      <c r="D6" s="10">
        <f>C6*0.3</f>
        <v>9000</v>
      </c>
      <c r="E6" s="9">
        <f>C6*0.7</f>
        <v>21000</v>
      </c>
      <c r="F6" s="11" t="s">
        <v>28</v>
      </c>
    </row>
    <row r="7" spans="1:6" x14ac:dyDescent="0.25">
      <c r="A7" s="13"/>
      <c r="B7" s="13"/>
      <c r="C7" s="14"/>
      <c r="D7" s="15"/>
      <c r="E7" s="15"/>
      <c r="F7" s="16"/>
    </row>
    <row r="8" spans="1:6" ht="15.75" thickBot="1" x14ac:dyDescent="0.3">
      <c r="A8" s="17" t="s">
        <v>31</v>
      </c>
      <c r="B8" s="18"/>
      <c r="C8" s="19">
        <f>SUM(C4:C7)</f>
        <v>698700</v>
      </c>
      <c r="D8" s="19">
        <f>SUM(D4:D7)</f>
        <v>313350</v>
      </c>
      <c r="E8" s="19">
        <f>SUM(E4:E7)</f>
        <v>385350</v>
      </c>
      <c r="F8" s="16"/>
    </row>
    <row r="9" spans="1:6" ht="15.75" thickBot="1" x14ac:dyDescent="0.3"/>
    <row r="10" spans="1:6" ht="16.5" thickBot="1" x14ac:dyDescent="0.3">
      <c r="A10" s="106" t="s">
        <v>33</v>
      </c>
      <c r="B10" s="107"/>
      <c r="C10" s="33" t="s">
        <v>20</v>
      </c>
      <c r="D10" s="33" t="s">
        <v>21</v>
      </c>
      <c r="E10" s="33" t="s">
        <v>22</v>
      </c>
      <c r="F10" s="33" t="s">
        <v>23</v>
      </c>
    </row>
    <row r="11" spans="1:6" x14ac:dyDescent="0.25">
      <c r="A11" s="7" t="s">
        <v>24</v>
      </c>
      <c r="C11" s="1">
        <f>(C4/13*12)</f>
        <v>478800</v>
      </c>
      <c r="D11" s="1">
        <f>C11/2</f>
        <v>239400</v>
      </c>
      <c r="E11" s="1">
        <f>C11/2</f>
        <v>239400</v>
      </c>
      <c r="F11" s="9" t="s">
        <v>26</v>
      </c>
    </row>
    <row r="12" spans="1:6" x14ac:dyDescent="0.25">
      <c r="A12" s="12" t="s">
        <v>27</v>
      </c>
      <c r="C12" s="1">
        <f t="shared" ref="C12:E13" si="0">C5</f>
        <v>150000</v>
      </c>
      <c r="D12" s="1">
        <f t="shared" si="0"/>
        <v>45000</v>
      </c>
      <c r="E12" s="1">
        <f t="shared" si="0"/>
        <v>105000</v>
      </c>
      <c r="F12" s="9" t="s">
        <v>28</v>
      </c>
    </row>
    <row r="13" spans="1:6" x14ac:dyDescent="0.25">
      <c r="A13" s="7" t="s">
        <v>29</v>
      </c>
      <c r="C13" s="1">
        <f t="shared" si="0"/>
        <v>30000</v>
      </c>
      <c r="D13" s="1">
        <f t="shared" si="0"/>
        <v>9000</v>
      </c>
      <c r="E13" s="1">
        <f t="shared" si="0"/>
        <v>21000</v>
      </c>
      <c r="F13" s="9" t="s">
        <v>28</v>
      </c>
    </row>
    <row r="14" spans="1:6" x14ac:dyDescent="0.25">
      <c r="A14" s="13"/>
      <c r="C14" s="1"/>
      <c r="D14" s="1"/>
      <c r="E14" s="1"/>
      <c r="F14" s="1"/>
    </row>
    <row r="15" spans="1:6" ht="15.75" thickBot="1" x14ac:dyDescent="0.3">
      <c r="A15" s="24" t="s">
        <v>31</v>
      </c>
      <c r="B15" s="22"/>
      <c r="C15" s="23">
        <f>SUM(C11:C14)</f>
        <v>658800</v>
      </c>
      <c r="D15" s="23">
        <f>SUM(D11:D14)</f>
        <v>293400</v>
      </c>
      <c r="E15" s="23">
        <f>SUM(E11:E14)</f>
        <v>365400</v>
      </c>
      <c r="F15" s="1"/>
    </row>
  </sheetData>
  <mergeCells count="2">
    <mergeCell ref="A1:F1"/>
    <mergeCell ref="A10:B10"/>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7"/>
  <sheetViews>
    <sheetView workbookViewId="0">
      <selection activeCell="J9" sqref="J9"/>
    </sheetView>
  </sheetViews>
  <sheetFormatPr defaultRowHeight="15" x14ac:dyDescent="0.25"/>
  <cols>
    <col min="1" max="1" width="11" bestFit="1" customWidth="1"/>
  </cols>
  <sheetData>
    <row r="1" spans="1:6" ht="15.75" x14ac:dyDescent="0.25">
      <c r="A1" s="108" t="s">
        <v>58</v>
      </c>
      <c r="B1" s="108"/>
      <c r="C1" s="108"/>
      <c r="D1" s="108"/>
      <c r="E1" s="108"/>
      <c r="F1" s="108"/>
    </row>
    <row r="2" spans="1:6" ht="15.75" x14ac:dyDescent="0.25">
      <c r="A2" s="31"/>
      <c r="B2" s="31"/>
      <c r="C2" s="31"/>
      <c r="D2" s="31"/>
      <c r="E2" s="31"/>
      <c r="F2" s="31"/>
    </row>
    <row r="3" spans="1:6" x14ac:dyDescent="0.25">
      <c r="A3" s="32" t="s">
        <v>48</v>
      </c>
      <c r="B3" s="32" t="s">
        <v>49</v>
      </c>
      <c r="C3" s="32"/>
      <c r="D3" s="34" t="s">
        <v>41</v>
      </c>
      <c r="E3" s="34" t="s">
        <v>42</v>
      </c>
      <c r="F3" s="32" t="s">
        <v>22</v>
      </c>
    </row>
    <row r="4" spans="1:6" x14ac:dyDescent="0.25">
      <c r="A4" s="2" t="s">
        <v>44</v>
      </c>
      <c r="B4" s="3">
        <v>300000</v>
      </c>
      <c r="E4" s="26">
        <v>0.3</v>
      </c>
      <c r="F4" s="26">
        <v>0.7</v>
      </c>
    </row>
    <row r="7" spans="1:6" ht="15.75" thickBot="1" x14ac:dyDescent="0.3">
      <c r="A7" s="22" t="s">
        <v>59</v>
      </c>
      <c r="B7" s="23">
        <v>300000</v>
      </c>
      <c r="C7" s="23"/>
      <c r="D7" s="23"/>
      <c r="E7" s="23">
        <f>B7*E4</f>
        <v>90000</v>
      </c>
      <c r="F7" s="23">
        <f>B7*F4</f>
        <v>210000</v>
      </c>
    </row>
  </sheetData>
  <mergeCells count="1">
    <mergeCell ref="A1:F1"/>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F8"/>
  <sheetViews>
    <sheetView workbookViewId="0">
      <selection activeCell="J19" sqref="J19"/>
    </sheetView>
  </sheetViews>
  <sheetFormatPr defaultRowHeight="15" x14ac:dyDescent="0.25"/>
  <cols>
    <col min="1" max="1" width="43.7109375" customWidth="1"/>
  </cols>
  <sheetData>
    <row r="1" spans="1:6" ht="15.75" x14ac:dyDescent="0.25">
      <c r="A1" s="109" t="s">
        <v>97</v>
      </c>
      <c r="B1" s="109"/>
      <c r="C1" s="109"/>
      <c r="D1" s="109"/>
      <c r="E1" s="109"/>
      <c r="F1" s="109"/>
    </row>
    <row r="2" spans="1:6" ht="15.75" x14ac:dyDescent="0.25">
      <c r="A2" s="31"/>
      <c r="B2" s="31"/>
    </row>
    <row r="3" spans="1:6" x14ac:dyDescent="0.25">
      <c r="A3" s="32" t="s">
        <v>48</v>
      </c>
      <c r="B3" s="32" t="s">
        <v>49</v>
      </c>
      <c r="D3" s="29" t="s">
        <v>41</v>
      </c>
      <c r="E3" s="29" t="s">
        <v>42</v>
      </c>
      <c r="F3" s="29" t="s">
        <v>22</v>
      </c>
    </row>
    <row r="4" spans="1:6" x14ac:dyDescent="0.25">
      <c r="A4" t="s">
        <v>34</v>
      </c>
      <c r="B4" s="25">
        <v>500000</v>
      </c>
      <c r="E4" s="26">
        <v>0.5</v>
      </c>
      <c r="F4" s="26">
        <v>0.5</v>
      </c>
    </row>
    <row r="5" spans="1:6" x14ac:dyDescent="0.25">
      <c r="A5" t="s">
        <v>35</v>
      </c>
      <c r="B5" s="1">
        <v>250000</v>
      </c>
      <c r="E5" s="26">
        <v>0.15</v>
      </c>
      <c r="F5" s="26">
        <v>0.85</v>
      </c>
    </row>
    <row r="8" spans="1:6" ht="15.75" thickBot="1" x14ac:dyDescent="0.3">
      <c r="A8" s="22" t="s">
        <v>36</v>
      </c>
      <c r="B8" s="23">
        <f>SUM(B4:B7)</f>
        <v>750000</v>
      </c>
      <c r="C8" s="3"/>
      <c r="D8" s="3"/>
      <c r="E8" s="23">
        <f>(B4*E4)+(B5*E5)</f>
        <v>287500</v>
      </c>
      <c r="F8" s="23">
        <f>(B4*F4)+(B5*F5)</f>
        <v>462500</v>
      </c>
    </row>
  </sheetData>
  <mergeCells count="1">
    <mergeCell ref="A1:F1"/>
  </mergeCells>
  <pageMargins left="0.7" right="0.7"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9</vt:i4>
      </vt:variant>
    </vt:vector>
  </HeadingPairs>
  <TitlesOfParts>
    <vt:vector size="9" baseType="lpstr">
      <vt:lpstr>Information</vt:lpstr>
      <vt:lpstr>TOTAL</vt:lpstr>
      <vt:lpstr>GITS</vt:lpstr>
      <vt:lpstr>webSESAM</vt:lpstr>
      <vt:lpstr>SVPL</vt:lpstr>
      <vt:lpstr>Införande ITMV</vt:lpstr>
      <vt:lpstr>Videomöte</vt:lpstr>
      <vt:lpstr>Utveckling KLARA</vt:lpstr>
      <vt:lpstr>SITHS</vt:lpstr>
    </vt:vector>
  </TitlesOfParts>
  <Company>Västra Götalandsregionen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M Amundsson</dc:creator>
  <cp:lastModifiedBy>Katarina M Amundsson</cp:lastModifiedBy>
  <cp:lastPrinted>2014-11-13T14:58:51Z</cp:lastPrinted>
  <dcterms:created xsi:type="dcterms:W3CDTF">2014-10-17T12:35:30Z</dcterms:created>
  <dcterms:modified xsi:type="dcterms:W3CDTF">2015-03-12T10:21:41Z</dcterms:modified>
</cp:coreProperties>
</file>